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各种上报材料\政府办\2023年春季\"/>
    </mc:Choice>
  </mc:AlternateContent>
  <xr:revisionPtr revIDLastSave="0" documentId="13_ncr:1_{3996D65C-9FD1-4AA6-A911-CCB857437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单表" sheetId="1" r:id="rId1"/>
    <sheet name="统计表" sheetId="2" r:id="rId2"/>
    <sheet name="Sheet3" sheetId="3" r:id="rId3"/>
  </sheets>
  <definedNames>
    <definedName name="_xlnm._FilterDatabase" localSheetId="0" hidden="1">名单表!$A$5:$S$279</definedName>
    <definedName name="困难类型">Sheet3!$D$3:$D$16</definedName>
    <definedName name="学校名称">Sheet3!$C$3:$C$21</definedName>
  </definedNames>
  <calcPr calcId="191029"/>
</workbook>
</file>

<file path=xl/calcChain.xml><?xml version="1.0" encoding="utf-8"?>
<calcChain xmlns="http://schemas.openxmlformats.org/spreadsheetml/2006/main">
  <c r="B3" i="2" l="1"/>
  <c r="B22" i="2"/>
  <c r="C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8" i="2"/>
  <c r="B11" i="2"/>
  <c r="B14" i="2"/>
  <c r="B17" i="2"/>
  <c r="B18" i="2"/>
  <c r="B20" i="2"/>
  <c r="B5" i="2"/>
  <c r="B6" i="2"/>
  <c r="B9" i="2"/>
  <c r="B12" i="2"/>
  <c r="B15" i="2"/>
  <c r="B21" i="2"/>
  <c r="B7" i="2"/>
  <c r="B10" i="2"/>
  <c r="B13" i="2"/>
  <c r="B16" i="2"/>
  <c r="B19" i="2"/>
  <c r="B4" i="2"/>
  <c r="I3" i="2"/>
  <c r="O3" i="2"/>
  <c r="M3" i="2"/>
  <c r="K3" i="2"/>
  <c r="E3" i="2"/>
  <c r="H3" i="2"/>
  <c r="N3" i="2"/>
  <c r="F3" i="2"/>
  <c r="L3" i="2"/>
  <c r="G3" i="2"/>
  <c r="D3" i="2"/>
  <c r="J3" i="2"/>
  <c r="P3" i="2"/>
  <c r="C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填写学生的姓名</t>
        </r>
      </text>
    </comment>
    <comment ref="G4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学生的性别</t>
        </r>
        <r>
          <rPr>
            <b/>
            <sz val="9"/>
            <rFont val="Tahoma"/>
            <family val="2"/>
          </rPr>
          <t xml:space="preserve"> 0-</t>
        </r>
        <r>
          <rPr>
            <b/>
            <sz val="9"/>
            <rFont val="宋体"/>
            <family val="3"/>
            <charset val="134"/>
          </rPr>
          <t>女</t>
        </r>
        <r>
          <rPr>
            <b/>
            <sz val="9"/>
            <rFont val="Tahoma"/>
            <family val="2"/>
          </rPr>
          <t xml:space="preserve">  1-</t>
        </r>
        <r>
          <rPr>
            <b/>
            <sz val="9"/>
            <rFont val="宋体"/>
            <family val="3"/>
            <charset val="134"/>
          </rPr>
          <t>男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<sst xmlns="http://schemas.openxmlformats.org/spreadsheetml/2006/main" count="1218" uniqueCount="363">
  <si>
    <t>禹王台区2023年春季学期义务教育阶段家庭经济困难学生生活补助发放名单表</t>
  </si>
  <si>
    <t>序号</t>
  </si>
  <si>
    <t>学校信息</t>
  </si>
  <si>
    <t>学生入学信息</t>
  </si>
  <si>
    <t>监护人信息</t>
  </si>
  <si>
    <t>资助金发放信息</t>
  </si>
  <si>
    <t>认定信息</t>
  </si>
  <si>
    <t>备注</t>
  </si>
  <si>
    <t>学校名称</t>
  </si>
  <si>
    <t>学校属性</t>
  </si>
  <si>
    <t>姓名</t>
  </si>
  <si>
    <t>全国系统学籍号</t>
  </si>
  <si>
    <t>身份证件号</t>
  </si>
  <si>
    <t>性别</t>
  </si>
  <si>
    <t>出生日期</t>
  </si>
  <si>
    <t>年级</t>
  </si>
  <si>
    <t>班级</t>
  </si>
  <si>
    <t>监护人姓名</t>
  </si>
  <si>
    <t>监护人身份证号</t>
  </si>
  <si>
    <t>监护人联系电话</t>
  </si>
  <si>
    <t>户籍地址</t>
  </si>
  <si>
    <t>发放一卡通户名</t>
  </si>
  <si>
    <t>发放一卡通卡号</t>
  </si>
  <si>
    <t>受助金额</t>
  </si>
  <si>
    <t>困难类别</t>
  </si>
  <si>
    <t>如困难类别为“其他困难类型”的注明具体原因</t>
  </si>
  <si>
    <t>标准全称，必须和全国系统一致</t>
  </si>
  <si>
    <r>
      <rPr>
        <sz val="8"/>
        <color indexed="8"/>
        <rFont val="宋体"/>
        <family val="3"/>
        <charset val="134"/>
      </rPr>
      <t>公办、民办，</t>
    </r>
    <r>
      <rPr>
        <sz val="8"/>
        <color indexed="10"/>
        <rFont val="宋体"/>
        <family val="3"/>
        <charset val="134"/>
      </rPr>
      <t>必填项</t>
    </r>
  </si>
  <si>
    <r>
      <rPr>
        <sz val="8"/>
        <color indexed="8"/>
        <rFont val="宋体"/>
        <family val="3"/>
        <charset val="134"/>
      </rPr>
      <t>必须为汉字（可以包含·），长度大于等于1，且不超过16个汉字，</t>
    </r>
    <r>
      <rPr>
        <sz val="8"/>
        <color indexed="10"/>
        <rFont val="宋体"/>
        <family val="3"/>
        <charset val="134"/>
      </rPr>
      <t>必填项</t>
    </r>
  </si>
  <si>
    <t>填写学生的学籍号，长度不超过50个字符</t>
  </si>
  <si>
    <r>
      <rPr>
        <sz val="8"/>
        <color indexed="8"/>
        <rFont val="宋体"/>
        <family val="3"/>
        <charset val="134"/>
      </rPr>
      <t>填写学生身份证件号，</t>
    </r>
    <r>
      <rPr>
        <sz val="8"/>
        <color indexed="10"/>
        <rFont val="宋体"/>
        <family val="3"/>
        <charset val="134"/>
      </rPr>
      <t>必填项</t>
    </r>
  </si>
  <si>
    <r>
      <rPr>
        <sz val="8"/>
        <color indexed="8"/>
        <rFont val="宋体"/>
        <family val="3"/>
        <charset val="134"/>
      </rPr>
      <t>只能填“男”或“女”。</t>
    </r>
    <r>
      <rPr>
        <sz val="8"/>
        <color indexed="10"/>
        <rFont val="宋体"/>
        <family val="3"/>
        <charset val="134"/>
      </rPr>
      <t>必填项</t>
    </r>
  </si>
  <si>
    <r>
      <rPr>
        <sz val="8"/>
        <color indexed="8"/>
        <rFont val="宋体"/>
        <family val="3"/>
        <charset val="134"/>
      </rPr>
      <t>填写学生的出生日期，格式如20020102。</t>
    </r>
    <r>
      <rPr>
        <sz val="8"/>
        <color indexed="10"/>
        <rFont val="宋体"/>
        <family val="3"/>
        <charset val="134"/>
      </rPr>
      <t>必填项</t>
    </r>
  </si>
  <si>
    <r>
      <rPr>
        <sz val="8"/>
        <color indexed="8"/>
        <rFont val="宋体"/>
        <family val="3"/>
        <charset val="134"/>
      </rPr>
      <t>填写学生所在年级,如:一年级,二年级，三年级等</t>
    </r>
    <r>
      <rPr>
        <sz val="8"/>
        <color indexed="10"/>
        <rFont val="宋体"/>
        <family val="3"/>
        <charset val="134"/>
      </rPr>
      <t>.必填项</t>
    </r>
  </si>
  <si>
    <r>
      <rPr>
        <sz val="8"/>
        <color indexed="8"/>
        <rFont val="宋体"/>
        <family val="3"/>
        <charset val="134"/>
      </rPr>
      <t>填写学生所在年级,如:一班 ,二班等</t>
    </r>
    <r>
      <rPr>
        <sz val="8"/>
        <color indexed="10"/>
        <rFont val="宋体"/>
        <family val="3"/>
        <charset val="134"/>
      </rPr>
      <t>.必填项</t>
    </r>
  </si>
  <si>
    <r>
      <rPr>
        <sz val="8"/>
        <color indexed="8"/>
        <rFont val="宋体"/>
        <family val="3"/>
        <charset val="134"/>
      </rPr>
      <t>必须为汉字（可以包含·），长度大于等于1，且不超过16个汉字</t>
    </r>
    <r>
      <rPr>
        <sz val="8"/>
        <color indexed="10"/>
        <rFont val="宋体"/>
        <family val="3"/>
        <charset val="134"/>
      </rPr>
      <t>，必填项</t>
    </r>
  </si>
  <si>
    <r>
      <rPr>
        <sz val="8"/>
        <color indexed="8"/>
        <rFont val="宋体"/>
        <family val="3"/>
        <charset val="134"/>
      </rPr>
      <t>填写监护人身份证件号，</t>
    </r>
    <r>
      <rPr>
        <sz val="8"/>
        <color indexed="10"/>
        <rFont val="宋体"/>
        <family val="3"/>
        <charset val="134"/>
      </rPr>
      <t>必填项</t>
    </r>
  </si>
  <si>
    <t>必填项</t>
  </si>
  <si>
    <r>
      <rPr>
        <sz val="8"/>
        <rFont val="宋体"/>
        <family val="3"/>
        <charset val="134"/>
      </rPr>
      <t>省、市、县（区）、乡（办事处）、村（社区）、街道门牌号</t>
    </r>
    <r>
      <rPr>
        <sz val="8"/>
        <color indexed="10"/>
        <rFont val="宋体"/>
        <family val="3"/>
        <charset val="134"/>
      </rPr>
      <t>必填项</t>
    </r>
  </si>
  <si>
    <t>单位：元</t>
  </si>
  <si>
    <t>如：脱贫家庭学生等</t>
  </si>
  <si>
    <t>高楼小学</t>
  </si>
  <si>
    <t>公办</t>
  </si>
  <si>
    <t>李义勤</t>
  </si>
  <si>
    <t>残疾学生</t>
  </si>
  <si>
    <t>王楚曦</t>
  </si>
  <si>
    <t>脱贫家庭学生</t>
  </si>
  <si>
    <t>合计</t>
  </si>
  <si>
    <t>脱贫不稳定家庭学生</t>
  </si>
  <si>
    <t>风险未消除家庭学生</t>
  </si>
  <si>
    <t>边缘易致贫家庭学生</t>
  </si>
  <si>
    <t>突发严重困难家庭学生</t>
  </si>
  <si>
    <t>城乡低保学生</t>
  </si>
  <si>
    <t>城乡低保家庭学生</t>
  </si>
  <si>
    <t>特困救助学生</t>
  </si>
  <si>
    <t>孤儿学生</t>
  </si>
  <si>
    <t>残疾人子女学生</t>
  </si>
  <si>
    <t>事实无人抚养学生</t>
  </si>
  <si>
    <t>经济困难单亲家庭学生</t>
  </si>
  <si>
    <t>其他家庭经济困难</t>
  </si>
  <si>
    <t>合  计</t>
  </si>
  <si>
    <t>夏理逊小学</t>
  </si>
  <si>
    <t>中山路第一小学</t>
  </si>
  <si>
    <t>开高附小</t>
  </si>
  <si>
    <t>五一路一小</t>
  </si>
  <si>
    <t>禹王台小学</t>
  </si>
  <si>
    <t>扶轮小学</t>
  </si>
  <si>
    <t>伞塔小学</t>
  </si>
  <si>
    <t>华夏小学</t>
  </si>
  <si>
    <t>杨庄小学</t>
  </si>
  <si>
    <t>西柳林小学</t>
  </si>
  <si>
    <t>松楼小学</t>
  </si>
  <si>
    <t>群力小学</t>
  </si>
  <si>
    <t>汪屯小学</t>
  </si>
  <si>
    <t>苏村小学</t>
  </si>
  <si>
    <t>马头小学</t>
  </si>
  <si>
    <t>张庄小学</t>
  </si>
  <si>
    <t>李庄小学</t>
  </si>
  <si>
    <t>实验中学</t>
  </si>
  <si>
    <t>困难类型</t>
  </si>
  <si>
    <t>张淑嫚</t>
  </si>
  <si>
    <t>牛嘉源</t>
  </si>
  <si>
    <t>邢欣彤</t>
  </si>
  <si>
    <t>郭依琳</t>
  </si>
  <si>
    <t>张颢桢</t>
  </si>
  <si>
    <t>牛雅诗</t>
  </si>
  <si>
    <t>孙鑫宇</t>
  </si>
  <si>
    <t>韩家琦</t>
  </si>
  <si>
    <t>卢忆甜</t>
  </si>
  <si>
    <t>张  冉</t>
  </si>
  <si>
    <t>姚芊孜</t>
  </si>
  <si>
    <t>孟星兵</t>
  </si>
  <si>
    <t>韩雨琦</t>
  </si>
  <si>
    <t>闵艺心</t>
  </si>
  <si>
    <t>陈囿儒</t>
  </si>
  <si>
    <t>王稼鹄</t>
  </si>
  <si>
    <t>闫晴荷</t>
  </si>
  <si>
    <t>高玄婼</t>
  </si>
  <si>
    <t>吴姝静</t>
  </si>
  <si>
    <t>李文杰</t>
  </si>
  <si>
    <t>陈  瑾</t>
  </si>
  <si>
    <t>张益菲</t>
  </si>
  <si>
    <t>王维嘉</t>
  </si>
  <si>
    <t>程瑜颖</t>
  </si>
  <si>
    <t>刘亚楠</t>
  </si>
  <si>
    <t>栗婧涵</t>
  </si>
  <si>
    <t>闫晴川</t>
  </si>
  <si>
    <t>李星润</t>
  </si>
  <si>
    <t>任钰菲</t>
  </si>
  <si>
    <t>方景铭</t>
  </si>
  <si>
    <t>陈  诚</t>
  </si>
  <si>
    <t>赵子一</t>
  </si>
  <si>
    <t>闵尚沅</t>
  </si>
  <si>
    <t>薛卿雯</t>
  </si>
  <si>
    <t>王梓名</t>
  </si>
  <si>
    <t>王唯一</t>
  </si>
  <si>
    <t>翟梓旭</t>
  </si>
  <si>
    <t>苗晨曦</t>
  </si>
  <si>
    <t>代雨彤</t>
  </si>
  <si>
    <t>王俊意</t>
  </si>
  <si>
    <t>崔欣然</t>
  </si>
  <si>
    <t>尼思涵</t>
  </si>
  <si>
    <t>刘镕瑞</t>
  </si>
  <si>
    <t>郭熙雯</t>
  </si>
  <si>
    <t>潘姝晴</t>
  </si>
  <si>
    <t>张  灿</t>
  </si>
  <si>
    <t>张智恒</t>
  </si>
  <si>
    <t>陈宇翔</t>
  </si>
  <si>
    <t>于文龙</t>
  </si>
  <si>
    <t>靳雨欣</t>
  </si>
  <si>
    <t>徐皓宇</t>
  </si>
  <si>
    <t>张辰浩</t>
  </si>
  <si>
    <t>王浩博</t>
  </si>
  <si>
    <t>毛晨菲</t>
  </si>
  <si>
    <t>张润昕</t>
  </si>
  <si>
    <t>梁子涵</t>
  </si>
  <si>
    <t>刘静妍</t>
  </si>
  <si>
    <t>刘浩乐</t>
  </si>
  <si>
    <t>郭睿辰</t>
  </si>
  <si>
    <t>周美同</t>
  </si>
  <si>
    <t>梁子睿</t>
  </si>
  <si>
    <t>张倚凡</t>
  </si>
  <si>
    <t>孙乐康</t>
  </si>
  <si>
    <t>胡天骄</t>
  </si>
  <si>
    <t>胡天赐</t>
  </si>
  <si>
    <t>胡天露</t>
  </si>
  <si>
    <t>崔鑫怡</t>
  </si>
  <si>
    <t>潘宇凡</t>
  </si>
  <si>
    <t>丁不凡</t>
  </si>
  <si>
    <t>常艺轩</t>
  </si>
  <si>
    <t>祝  鑫</t>
  </si>
  <si>
    <t>程嘉右</t>
  </si>
  <si>
    <t>李梓硕</t>
  </si>
  <si>
    <t xml:space="preserve">公办 </t>
  </si>
  <si>
    <t>陈芃蓁</t>
  </si>
  <si>
    <t>李月涵</t>
  </si>
  <si>
    <t>张擎宇</t>
  </si>
  <si>
    <t>王奕涵</t>
  </si>
  <si>
    <t>韩一凡</t>
  </si>
  <si>
    <t>吴泽昊</t>
  </si>
  <si>
    <t>孟宪睿</t>
  </si>
  <si>
    <t>李灿</t>
  </si>
  <si>
    <t>赵俊雅</t>
  </si>
  <si>
    <t>李巧巧</t>
  </si>
  <si>
    <t>李志成</t>
  </si>
  <si>
    <t>韩冬丽</t>
  </si>
  <si>
    <t>陈宁</t>
  </si>
  <si>
    <t>朱鑫博</t>
  </si>
  <si>
    <t>冉程欣</t>
  </si>
  <si>
    <t>张玉朋</t>
  </si>
  <si>
    <t>胡可悦</t>
  </si>
  <si>
    <t>胡可欣</t>
  </si>
  <si>
    <t>孟祥瑶</t>
  </si>
  <si>
    <t>刘夏</t>
  </si>
  <si>
    <t>谢  影</t>
  </si>
  <si>
    <t>谢  旭</t>
  </si>
  <si>
    <t>刘子龙</t>
  </si>
  <si>
    <t>徐森林</t>
  </si>
  <si>
    <t>牛嘉祥</t>
  </si>
  <si>
    <t>牛怡茜</t>
  </si>
  <si>
    <t>郭以撒</t>
  </si>
  <si>
    <t>魏铭国</t>
  </si>
  <si>
    <t>毛函中</t>
  </si>
  <si>
    <t>包宇航</t>
  </si>
  <si>
    <t>邹金轩</t>
  </si>
  <si>
    <t>周奕良</t>
  </si>
  <si>
    <t>文彦晴</t>
  </si>
  <si>
    <t>王紫轩</t>
  </si>
  <si>
    <t>牛世杰</t>
  </si>
  <si>
    <t>余晨溪</t>
  </si>
  <si>
    <t>彭恩慧</t>
  </si>
  <si>
    <t>李雪晴</t>
  </si>
  <si>
    <t>康家赫</t>
  </si>
  <si>
    <t>张  畅</t>
  </si>
  <si>
    <t>张子骞</t>
  </si>
  <si>
    <t>张浩峥</t>
  </si>
  <si>
    <t>朱若仪</t>
  </si>
  <si>
    <t>盛孜祎</t>
  </si>
  <si>
    <t>邓莉谚</t>
  </si>
  <si>
    <t>赵一晨</t>
  </si>
  <si>
    <t>张启祥</t>
  </si>
  <si>
    <t>刘润强</t>
  </si>
  <si>
    <t>丁梓悦</t>
  </si>
  <si>
    <t>赵威</t>
  </si>
  <si>
    <t>潘子怡</t>
  </si>
  <si>
    <t>吴昭君</t>
  </si>
  <si>
    <t>李冰寒</t>
  </si>
  <si>
    <t>张庆熙</t>
  </si>
  <si>
    <t>宋婧姝</t>
  </si>
  <si>
    <t>王清愉</t>
  </si>
  <si>
    <t>吴佳梦</t>
  </si>
  <si>
    <t>代佳雪</t>
  </si>
  <si>
    <t>孙爽</t>
  </si>
  <si>
    <t>丁文轩</t>
  </si>
  <si>
    <t>尹雪晴</t>
  </si>
  <si>
    <t>芦世杰</t>
  </si>
  <si>
    <t>杨木泽</t>
  </si>
  <si>
    <t>郭张超</t>
  </si>
  <si>
    <t>陈双双</t>
  </si>
  <si>
    <t>芦世博</t>
  </si>
  <si>
    <t>崔玉卿</t>
  </si>
  <si>
    <t>李雨航</t>
  </si>
  <si>
    <t>张峻熙</t>
  </si>
  <si>
    <t xml:space="preserve">郭张越 </t>
  </si>
  <si>
    <t>张传禄</t>
  </si>
  <si>
    <t>吴永青</t>
  </si>
  <si>
    <t>李琰</t>
  </si>
  <si>
    <t>张传福</t>
  </si>
  <si>
    <t>朱广超</t>
  </si>
  <si>
    <t>吴金泽</t>
  </si>
  <si>
    <t>李媛</t>
  </si>
  <si>
    <t>王子衡</t>
  </si>
  <si>
    <t>韦家欣</t>
  </si>
  <si>
    <t>秦硕</t>
  </si>
  <si>
    <t>黄灿灿</t>
  </si>
  <si>
    <t>王璇</t>
  </si>
  <si>
    <t>刘学辉</t>
  </si>
  <si>
    <t>吴佳佳</t>
  </si>
  <si>
    <t>李家松</t>
  </si>
  <si>
    <t>王奥林</t>
  </si>
  <si>
    <t>王帅杰</t>
  </si>
  <si>
    <t>郭贺</t>
  </si>
  <si>
    <t>张诗涛</t>
  </si>
  <si>
    <t>杜文博</t>
  </si>
  <si>
    <t>高俊翔</t>
  </si>
  <si>
    <t>郭伊涵</t>
  </si>
  <si>
    <t>高俊乐</t>
  </si>
  <si>
    <t>王浩</t>
  </si>
  <si>
    <t>陈晨卓</t>
  </si>
  <si>
    <t>常世博</t>
  </si>
  <si>
    <t>吴子博</t>
  </si>
  <si>
    <t>陈佳音</t>
  </si>
  <si>
    <t>张榕灿</t>
  </si>
  <si>
    <t>赵昕豪</t>
  </si>
  <si>
    <t>王世豪</t>
  </si>
  <si>
    <t>丁悦佳</t>
  </si>
  <si>
    <t>祝天星</t>
  </si>
  <si>
    <t>丁文旭</t>
  </si>
  <si>
    <t>贾  航</t>
  </si>
  <si>
    <t>陈帅</t>
  </si>
  <si>
    <t>因病致贫的学生</t>
  </si>
  <si>
    <t>有两名及以上在非义务教育学校就读的家庭经济困难学生</t>
  </si>
  <si>
    <t>田倩影</t>
  </si>
  <si>
    <t>田若影</t>
  </si>
  <si>
    <t>邵明乐</t>
  </si>
  <si>
    <t>杨芮菲</t>
  </si>
  <si>
    <t>韩柯萱</t>
  </si>
  <si>
    <t>彭瑞航</t>
  </si>
  <si>
    <t>尹耀斌</t>
  </si>
  <si>
    <t>安子乐</t>
  </si>
  <si>
    <t>孔方正</t>
  </si>
  <si>
    <t>刘博延</t>
  </si>
  <si>
    <t>刘博昌</t>
  </si>
  <si>
    <t>寨羚羽</t>
  </si>
  <si>
    <t>马英杰</t>
  </si>
  <si>
    <t>陈奕彤</t>
  </si>
  <si>
    <t>朱崔春鸽</t>
  </si>
  <si>
    <t>李柏灏</t>
  </si>
  <si>
    <t>尹慧婷</t>
  </si>
  <si>
    <t>李晗睿</t>
  </si>
  <si>
    <t>于烁天</t>
  </si>
  <si>
    <t>杨淇善</t>
  </si>
  <si>
    <t>郅明浩</t>
  </si>
  <si>
    <t>王亚辰</t>
  </si>
  <si>
    <t>单夏菡</t>
  </si>
  <si>
    <t>张温彬</t>
  </si>
  <si>
    <t>张佳美</t>
  </si>
  <si>
    <t>韦梦菲</t>
  </si>
  <si>
    <t>陈迪</t>
  </si>
  <si>
    <t>张在熙</t>
  </si>
  <si>
    <t>张俊熙</t>
  </si>
  <si>
    <t>贾雨涵</t>
  </si>
  <si>
    <t>王梓齐</t>
  </si>
  <si>
    <t>尹久久</t>
  </si>
  <si>
    <t>何首康</t>
  </si>
  <si>
    <t>何首妩</t>
  </si>
  <si>
    <t>程冰冰</t>
  </si>
  <si>
    <t>田梓君</t>
  </si>
  <si>
    <t>张致远</t>
  </si>
  <si>
    <t>王鹏涵</t>
  </si>
  <si>
    <t>吴佳轩</t>
  </si>
  <si>
    <t>公办、</t>
  </si>
  <si>
    <t>王旭阳</t>
  </si>
  <si>
    <t>胡译心</t>
  </si>
  <si>
    <t>杨卓娅</t>
  </si>
  <si>
    <t>张董伊</t>
  </si>
  <si>
    <t>李家怡</t>
  </si>
  <si>
    <t>杨淑云</t>
  </si>
  <si>
    <t>惠君临</t>
  </si>
  <si>
    <t>张董烁</t>
  </si>
  <si>
    <t>赵凯迪</t>
  </si>
  <si>
    <t xml:space="preserve">公办                           </t>
  </si>
  <si>
    <t>黄天奕</t>
  </si>
  <si>
    <t>赵家燕</t>
  </si>
  <si>
    <t>赵文强</t>
  </si>
  <si>
    <t>徐运泽</t>
  </si>
  <si>
    <t>米尔萨力·巴拉提</t>
  </si>
  <si>
    <t>迪力穆拉提·巴拉提</t>
  </si>
  <si>
    <t>马梦雪</t>
  </si>
  <si>
    <t>崔梦龙</t>
  </si>
  <si>
    <t>王梓轩</t>
  </si>
  <si>
    <t>闫宇甜</t>
  </si>
  <si>
    <t>薛开拓</t>
  </si>
  <si>
    <t>陈思彤</t>
  </si>
  <si>
    <t>郭书曈</t>
  </si>
  <si>
    <t>母亲有病，不能参与劳动。</t>
  </si>
  <si>
    <t>柳雨曦</t>
  </si>
  <si>
    <t>柳锦欣</t>
  </si>
  <si>
    <t>王思奇</t>
  </si>
  <si>
    <t>孙嘉苒</t>
  </si>
  <si>
    <t>孙欣冉</t>
  </si>
  <si>
    <t>陈梓铭</t>
  </si>
  <si>
    <t>张若琪</t>
  </si>
  <si>
    <t>李佳欣</t>
  </si>
  <si>
    <t>聂鹤</t>
  </si>
  <si>
    <t>丁嘉威</t>
  </si>
  <si>
    <t>李佳璇</t>
  </si>
  <si>
    <t>常煜祺</t>
  </si>
  <si>
    <t>李嘉航</t>
  </si>
  <si>
    <t>王佳音</t>
  </si>
  <si>
    <t>王奉献</t>
  </si>
  <si>
    <t>尚语晨</t>
  </si>
  <si>
    <t>两名在非义务教育子女</t>
  </si>
  <si>
    <t>张紫怡</t>
  </si>
  <si>
    <t>刘采萱</t>
  </si>
  <si>
    <t>赵梦伊</t>
  </si>
  <si>
    <t>赵子恩</t>
  </si>
  <si>
    <t>赵梦柔</t>
  </si>
  <si>
    <t>李诗语</t>
  </si>
  <si>
    <t>贾灿</t>
  </si>
  <si>
    <t>翟明姚</t>
  </si>
  <si>
    <t>翟羽晴</t>
  </si>
  <si>
    <t>王珂璇</t>
  </si>
  <si>
    <t>丁佳琪</t>
  </si>
  <si>
    <t>温连洋</t>
  </si>
  <si>
    <t>父母劳动力弱，兄妹3人</t>
  </si>
  <si>
    <t>张康钰</t>
  </si>
  <si>
    <t>张皓轩</t>
  </si>
  <si>
    <t>张乐辰</t>
  </si>
  <si>
    <t>郭依朵</t>
  </si>
  <si>
    <t>残疾人子女学生</t>
    <phoneticPr fontId="3" type="noConversion"/>
  </si>
  <si>
    <t>2023年秋季禹王台区受助学生数统计</t>
    <phoneticPr fontId="3" type="noConversion"/>
  </si>
  <si>
    <r>
      <t>填报单位：（公章）</t>
    </r>
    <r>
      <rPr>
        <sz val="11"/>
        <rFont val="宋体"/>
        <family val="3"/>
        <charset val="134"/>
      </rPr>
      <t xml:space="preserve">禹王台区学生资助管理中心    </t>
    </r>
    <r>
      <rPr>
        <b/>
        <sz val="11"/>
        <rFont val="宋体"/>
        <family val="3"/>
        <charset val="134"/>
      </rPr>
      <t xml:space="preserve">法人签字：                     填表人： </t>
    </r>
    <r>
      <rPr>
        <sz val="11"/>
        <rFont val="宋体"/>
        <family val="3"/>
        <charset val="134"/>
      </rPr>
      <t>孟宪洋</t>
    </r>
    <r>
      <rPr>
        <b/>
        <sz val="11"/>
        <rFont val="宋体"/>
        <family val="3"/>
        <charset val="134"/>
      </rPr>
      <t xml:space="preserve">             填表时间：</t>
    </r>
    <r>
      <rPr>
        <sz val="11"/>
        <rFont val="宋体"/>
        <family val="3"/>
        <charset val="134"/>
      </rPr>
      <t>2023</t>
    </r>
    <r>
      <rPr>
        <b/>
        <sz val="11"/>
        <rFont val="宋体"/>
        <family val="3"/>
        <charset val="134"/>
      </rPr>
      <t xml:space="preserve"> 年 </t>
    </r>
    <r>
      <rPr>
        <sz val="11"/>
        <rFont val="宋体"/>
        <family val="3"/>
        <charset val="134"/>
      </rPr>
      <t xml:space="preserve">3 </t>
    </r>
    <r>
      <rPr>
        <b/>
        <sz val="11"/>
        <rFont val="宋体"/>
        <family val="3"/>
        <charset val="134"/>
      </rPr>
      <t xml:space="preserve">月 </t>
    </r>
    <r>
      <rPr>
        <sz val="11"/>
        <rFont val="宋体"/>
        <family val="3"/>
        <charset val="134"/>
      </rPr>
      <t>29</t>
    </r>
    <r>
      <rPr>
        <b/>
        <sz val="11"/>
        <rFont val="宋体"/>
        <family val="3"/>
        <charset val="134"/>
      </rPr>
      <t>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</si>
</sst>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2" x14ac:knownFonts="1">
    <font>
      <sz val="11"/>
      <color theme="1"/>
      <name val="宋体"/>
      <charset val="134"/>
      <scheme val="minor"/>
    </font>
    <font>
      <b/>
      <sz val="18"/>
      <color theme="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8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0" fillId="6" borderId="2" xfId="0" applyFill="1" applyBorder="1">
      <alignment vertical="center"/>
    </xf>
    <xf numFmtId="0" fontId="0" fillId="0" borderId="0" xfId="0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top" wrapText="1"/>
    </xf>
    <xf numFmtId="176" fontId="8" fillId="8" borderId="2" xfId="24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5" fillId="7" borderId="3" xfId="0" applyNumberFormat="1" applyFont="1" applyFill="1" applyBorder="1" applyAlignment="1">
      <alignment horizontal="center" vertical="center" wrapText="1"/>
    </xf>
    <xf numFmtId="49" fontId="5" fillId="7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</cellXfs>
  <cellStyles count="44">
    <cellStyle name="常规" xfId="0" builtinId="0"/>
    <cellStyle name="常规 10" xfId="10" xr:uid="{00000000-0005-0000-0000-000038000000}"/>
    <cellStyle name="常规 10 10" xfId="12" xr:uid="{00000000-0005-0000-0000-00003C000000}"/>
    <cellStyle name="常规 10 10 2" xfId="13" xr:uid="{00000000-0005-0000-0000-00003D000000}"/>
    <cellStyle name="常规 10 11" xfId="6" xr:uid="{00000000-0005-0000-0000-000017000000}"/>
    <cellStyle name="常规 10 2" xfId="11" xr:uid="{00000000-0005-0000-0000-00003A000000}"/>
    <cellStyle name="常规 10 2 2 10" xfId="2" xr:uid="{00000000-0005-0000-0000-000006000000}"/>
    <cellStyle name="常规 10 2 2 2" xfId="14" xr:uid="{00000000-0005-0000-0000-00003E000000}"/>
    <cellStyle name="常规 10 2 2 3 5 2 2" xfId="7" xr:uid="{00000000-0005-0000-0000-00001D000000}"/>
    <cellStyle name="常规 10 5 3" xfId="15" xr:uid="{00000000-0005-0000-0000-00003F000000}"/>
    <cellStyle name="常规 10 9 2" xfId="1" xr:uid="{00000000-0005-0000-0000-000001000000}"/>
    <cellStyle name="常规 11 2 2 4 2" xfId="16" xr:uid="{00000000-0005-0000-0000-000040000000}"/>
    <cellStyle name="常规 11 2 2 5" xfId="9" xr:uid="{00000000-0005-0000-0000-000036000000}"/>
    <cellStyle name="常规 11 4" xfId="17" xr:uid="{00000000-0005-0000-0000-000041000000}"/>
    <cellStyle name="常规 11 4 2" xfId="4" xr:uid="{00000000-0005-0000-0000-00000C000000}"/>
    <cellStyle name="常规 11 4 2 2 2" xfId="8" xr:uid="{00000000-0005-0000-0000-00002B000000}"/>
    <cellStyle name="常规 11 5 7" xfId="18" xr:uid="{00000000-0005-0000-0000-000042000000}"/>
    <cellStyle name="常规 11 5 7 2" xfId="3" xr:uid="{00000000-0005-0000-0000-00000B000000}"/>
    <cellStyle name="常规 12" xfId="5" xr:uid="{00000000-0005-0000-0000-000016000000}"/>
    <cellStyle name="常规 13 10" xfId="19" xr:uid="{00000000-0005-0000-0000-000043000000}"/>
    <cellStyle name="常规 13 4 2 2 2" xfId="20" xr:uid="{00000000-0005-0000-0000-000044000000}"/>
    <cellStyle name="常规 14 2 2 2 2" xfId="21" xr:uid="{00000000-0005-0000-0000-000045000000}"/>
    <cellStyle name="常规 17" xfId="22" xr:uid="{00000000-0005-0000-0000-000046000000}"/>
    <cellStyle name="常规 2" xfId="23" xr:uid="{00000000-0005-0000-0000-000047000000}"/>
    <cellStyle name="常规 2 2" xfId="24" xr:uid="{00000000-0005-0000-0000-000048000000}"/>
    <cellStyle name="常规 2 2 2" xfId="25" xr:uid="{00000000-0005-0000-0000-000049000000}"/>
    <cellStyle name="常规 2 2 3 2 2 2" xfId="26" xr:uid="{00000000-0005-0000-0000-00004A000000}"/>
    <cellStyle name="常规 2 2 3 2 2 2 2 2 2 2" xfId="27" xr:uid="{00000000-0005-0000-0000-00004B000000}"/>
    <cellStyle name="常规 2 2 6 2 2 2" xfId="28" xr:uid="{00000000-0005-0000-0000-00004C000000}"/>
    <cellStyle name="常规 2 5 2 2" xfId="29" xr:uid="{00000000-0005-0000-0000-00004D000000}"/>
    <cellStyle name="常规 2 5 2 2 2 2" xfId="30" xr:uid="{00000000-0005-0000-0000-00004E000000}"/>
    <cellStyle name="常规 2 5 2 3" xfId="31" xr:uid="{00000000-0005-0000-0000-00004F000000}"/>
    <cellStyle name="常规 20" xfId="32" xr:uid="{00000000-0005-0000-0000-000050000000}"/>
    <cellStyle name="常规 20 2" xfId="33" xr:uid="{00000000-0005-0000-0000-000051000000}"/>
    <cellStyle name="常规 21" xfId="34" xr:uid="{00000000-0005-0000-0000-000052000000}"/>
    <cellStyle name="常规 3" xfId="35" xr:uid="{00000000-0005-0000-0000-000053000000}"/>
    <cellStyle name="常规 4 2" xfId="36" xr:uid="{00000000-0005-0000-0000-000054000000}"/>
    <cellStyle name="常规 5" xfId="37" xr:uid="{00000000-0005-0000-0000-000055000000}"/>
    <cellStyle name="常规 9 2" xfId="38" xr:uid="{00000000-0005-0000-0000-000056000000}"/>
    <cellStyle name="常规 9 2 2 2 2" xfId="39" xr:uid="{00000000-0005-0000-0000-000057000000}"/>
    <cellStyle name="常规 9 2 2 2 2 2 2 2" xfId="40" xr:uid="{00000000-0005-0000-0000-000058000000}"/>
    <cellStyle name="常规 9 2 4" xfId="41" xr:uid="{00000000-0005-0000-0000-000059000000}"/>
    <cellStyle name="常规 9 4 2 10 2" xfId="42" xr:uid="{00000000-0005-0000-0000-00005A000000}"/>
    <cellStyle name="常规 9 4 2 2 2 2 2" xfId="43" xr:uid="{00000000-0005-0000-0000-00005B000000}"/>
  </cellStyles>
  <dxfs count="0"/>
  <tableStyles count="0" defaultTableStyle="TableStyleMedium9" defaultPivotStyle="PivotStyleLight16"/>
  <colors>
    <mruColors>
      <color rgb="FFCCCC00"/>
      <color rgb="FFFFCC99"/>
      <color rgb="FFCCFF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9"/>
  <sheetViews>
    <sheetView tabSelected="1" topLeftCell="A268" zoomScaleNormal="100" workbookViewId="0">
      <selection activeCell="Q282" sqref="Q282"/>
    </sheetView>
  </sheetViews>
  <sheetFormatPr defaultColWidth="9" defaultRowHeight="13.5" x14ac:dyDescent="0.15"/>
  <cols>
    <col min="1" max="1" width="4" style="8" customWidth="1"/>
    <col min="2" max="2" width="10.625" style="8" customWidth="1"/>
    <col min="3" max="3" width="5.125" style="8" customWidth="1"/>
    <col min="4" max="4" width="6.375" style="8" customWidth="1"/>
    <col min="5" max="5" width="8.5" style="8" customWidth="1"/>
    <col min="6" max="6" width="8.375" style="8" customWidth="1"/>
    <col min="7" max="7" width="3" style="8" customWidth="1"/>
    <col min="8" max="8" width="6.875" style="8" customWidth="1"/>
    <col min="9" max="9" width="6.25" style="8" customWidth="1"/>
    <col min="10" max="10" width="6.375" style="8" customWidth="1"/>
    <col min="11" max="11" width="8.25" style="8" customWidth="1"/>
    <col min="12" max="12" width="7.75" style="8" customWidth="1"/>
    <col min="13" max="13" width="9.75" style="8" customWidth="1"/>
    <col min="14" max="14" width="10.625" style="8" customWidth="1"/>
    <col min="15" max="15" width="6.25" style="8" customWidth="1"/>
    <col min="16" max="16" width="7.75" style="8" customWidth="1"/>
    <col min="17" max="17" width="7.375" style="8" customWidth="1"/>
    <col min="18" max="18" width="10.625" style="8" customWidth="1"/>
    <col min="19" max="19" width="8.375" style="8" customWidth="1"/>
    <col min="20" max="20" width="13" style="8" customWidth="1"/>
    <col min="21" max="22" width="19.25" style="8" customWidth="1"/>
    <col min="23" max="23" width="21.375" style="8" customWidth="1"/>
    <col min="24" max="24" width="13" style="8" customWidth="1"/>
    <col min="25" max="25" width="17.25" style="8" customWidth="1"/>
    <col min="26" max="26" width="13" style="8" customWidth="1"/>
    <col min="27" max="28" width="9" style="8"/>
    <col min="29" max="29" width="15.125" style="8" customWidth="1"/>
    <col min="30" max="30" width="17.25" style="8" customWidth="1"/>
    <col min="31" max="16384" width="9" style="8"/>
  </cols>
  <sheetData>
    <row r="1" spans="1:19" ht="30" customHeight="1" x14ac:dyDescent="0.1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9" ht="24.75" customHeight="1" x14ac:dyDescent="0.15">
      <c r="A2" s="25" t="s">
        <v>362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5.5" customHeight="1" x14ac:dyDescent="0.15">
      <c r="A3" s="29" t="s">
        <v>1</v>
      </c>
      <c r="B3" s="26" t="s">
        <v>2</v>
      </c>
      <c r="C3" s="27"/>
      <c r="D3" s="26" t="s">
        <v>3</v>
      </c>
      <c r="E3" s="28"/>
      <c r="F3" s="28"/>
      <c r="G3" s="28"/>
      <c r="H3" s="28"/>
      <c r="I3" s="28"/>
      <c r="J3" s="27"/>
      <c r="K3" s="26" t="s">
        <v>4</v>
      </c>
      <c r="L3" s="28"/>
      <c r="M3" s="28"/>
      <c r="N3" s="27"/>
      <c r="O3" s="26" t="s">
        <v>5</v>
      </c>
      <c r="P3" s="28"/>
      <c r="Q3" s="27"/>
      <c r="R3" s="14" t="s">
        <v>6</v>
      </c>
      <c r="S3" s="3" t="s">
        <v>7</v>
      </c>
    </row>
    <row r="4" spans="1:19" ht="22.5" customHeight="1" x14ac:dyDescent="0.15">
      <c r="A4" s="30"/>
      <c r="B4" s="9" t="s">
        <v>8</v>
      </c>
      <c r="C4" s="9" t="s">
        <v>9</v>
      </c>
      <c r="D4" s="9" t="s">
        <v>10</v>
      </c>
      <c r="E4" s="10" t="s">
        <v>11</v>
      </c>
      <c r="F4" s="10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10" t="s">
        <v>18</v>
      </c>
      <c r="M4" s="10" t="s">
        <v>19</v>
      </c>
      <c r="N4" s="10" t="s">
        <v>20</v>
      </c>
      <c r="O4" s="12" t="s">
        <v>21</v>
      </c>
      <c r="P4" s="9" t="s">
        <v>22</v>
      </c>
      <c r="Q4" s="9" t="s">
        <v>23</v>
      </c>
      <c r="R4" s="9" t="s">
        <v>24</v>
      </c>
      <c r="S4" s="32" t="s">
        <v>25</v>
      </c>
    </row>
    <row r="5" spans="1:19" ht="19.5" hidden="1" customHeight="1" x14ac:dyDescent="0.15">
      <c r="A5" s="31"/>
      <c r="B5" s="11" t="s">
        <v>26</v>
      </c>
      <c r="C5" s="11" t="s">
        <v>27</v>
      </c>
      <c r="D5" s="11" t="s">
        <v>28</v>
      </c>
      <c r="E5" s="11" t="s">
        <v>29</v>
      </c>
      <c r="F5" s="11" t="s">
        <v>30</v>
      </c>
      <c r="G5" s="11" t="s">
        <v>31</v>
      </c>
      <c r="H5" s="11" t="s">
        <v>32</v>
      </c>
      <c r="I5" s="11" t="s">
        <v>33</v>
      </c>
      <c r="J5" s="11" t="s">
        <v>34</v>
      </c>
      <c r="K5" s="11" t="s">
        <v>35</v>
      </c>
      <c r="L5" s="11" t="s">
        <v>36</v>
      </c>
      <c r="M5" s="13" t="s">
        <v>37</v>
      </c>
      <c r="N5" s="13" t="s">
        <v>38</v>
      </c>
      <c r="O5" s="13" t="s">
        <v>37</v>
      </c>
      <c r="P5" s="13" t="s">
        <v>37</v>
      </c>
      <c r="Q5" s="13" t="s">
        <v>39</v>
      </c>
      <c r="R5" s="11" t="s">
        <v>40</v>
      </c>
      <c r="S5" s="33"/>
    </row>
    <row r="6" spans="1:19" s="18" customFormat="1" ht="20.100000000000001" customHeight="1" x14ac:dyDescent="0.15">
      <c r="A6" s="15">
        <v>1</v>
      </c>
      <c r="B6" s="16" t="s">
        <v>62</v>
      </c>
      <c r="C6" s="16" t="s">
        <v>42</v>
      </c>
      <c r="D6" s="16" t="s">
        <v>80</v>
      </c>
      <c r="E6" s="16"/>
      <c r="F6" s="16"/>
      <c r="G6" s="16"/>
      <c r="H6" s="17"/>
      <c r="I6" s="17"/>
      <c r="J6" s="17"/>
      <c r="K6" s="16"/>
      <c r="L6" s="16"/>
      <c r="M6" s="16"/>
      <c r="N6" s="16"/>
      <c r="O6" s="16"/>
      <c r="P6" s="16"/>
      <c r="Q6" s="16">
        <v>250</v>
      </c>
      <c r="R6" s="16" t="s">
        <v>46</v>
      </c>
      <c r="S6" s="15"/>
    </row>
    <row r="7" spans="1:19" s="18" customFormat="1" ht="20.100000000000001" customHeight="1" x14ac:dyDescent="0.15">
      <c r="A7" s="19">
        <v>2</v>
      </c>
      <c r="B7" s="20" t="s">
        <v>62</v>
      </c>
      <c r="C7" s="20" t="s">
        <v>42</v>
      </c>
      <c r="D7" s="20" t="s">
        <v>81</v>
      </c>
      <c r="E7" s="20"/>
      <c r="F7" s="21"/>
      <c r="G7" s="20"/>
      <c r="H7" s="21"/>
      <c r="I7" s="21"/>
      <c r="J7" s="21"/>
      <c r="K7" s="20"/>
      <c r="L7" s="21"/>
      <c r="M7" s="21"/>
      <c r="N7" s="20"/>
      <c r="O7" s="20"/>
      <c r="P7" s="21"/>
      <c r="Q7" s="16">
        <v>250</v>
      </c>
      <c r="R7" s="20" t="s">
        <v>51</v>
      </c>
      <c r="S7" s="19"/>
    </row>
    <row r="8" spans="1:19" s="22" customFormat="1" ht="20.100000000000001" customHeight="1" x14ac:dyDescent="0.15">
      <c r="A8" s="15">
        <v>3</v>
      </c>
      <c r="B8" s="16" t="s">
        <v>62</v>
      </c>
      <c r="C8" s="16" t="s">
        <v>42</v>
      </c>
      <c r="D8" s="16" t="s">
        <v>82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v>250</v>
      </c>
      <c r="R8" s="16" t="s">
        <v>46</v>
      </c>
      <c r="S8" s="16"/>
    </row>
    <row r="9" spans="1:19" s="22" customFormat="1" ht="20.100000000000001" customHeight="1" x14ac:dyDescent="0.15">
      <c r="A9" s="19">
        <v>4</v>
      </c>
      <c r="B9" s="16" t="s">
        <v>62</v>
      </c>
      <c r="C9" s="16" t="s">
        <v>42</v>
      </c>
      <c r="D9" s="16" t="s">
        <v>83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v>250</v>
      </c>
      <c r="R9" s="16" t="s">
        <v>46</v>
      </c>
      <c r="S9" s="16"/>
    </row>
    <row r="10" spans="1:19" s="22" customFormat="1" ht="20.100000000000001" customHeight="1" x14ac:dyDescent="0.15">
      <c r="A10" s="15">
        <v>5</v>
      </c>
      <c r="B10" s="16" t="s">
        <v>62</v>
      </c>
      <c r="C10" s="16" t="s">
        <v>42</v>
      </c>
      <c r="D10" s="16" t="s">
        <v>84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v>250</v>
      </c>
      <c r="R10" s="16" t="s">
        <v>46</v>
      </c>
      <c r="S10" s="16"/>
    </row>
    <row r="11" spans="1:19" s="22" customFormat="1" ht="20.100000000000001" customHeight="1" x14ac:dyDescent="0.15">
      <c r="A11" s="19">
        <v>6</v>
      </c>
      <c r="B11" s="16" t="s">
        <v>62</v>
      </c>
      <c r="C11" s="16" t="s">
        <v>42</v>
      </c>
      <c r="D11" s="16" t="s">
        <v>85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v>250</v>
      </c>
      <c r="R11" s="16" t="s">
        <v>46</v>
      </c>
      <c r="S11" s="16"/>
    </row>
    <row r="12" spans="1:19" s="22" customFormat="1" ht="20.100000000000001" customHeight="1" x14ac:dyDescent="0.15">
      <c r="A12" s="15">
        <v>7</v>
      </c>
      <c r="B12" s="16" t="s">
        <v>62</v>
      </c>
      <c r="C12" s="16" t="s">
        <v>42</v>
      </c>
      <c r="D12" s="16" t="s">
        <v>86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v>250</v>
      </c>
      <c r="R12" s="16" t="s">
        <v>51</v>
      </c>
      <c r="S12" s="16"/>
    </row>
    <row r="13" spans="1:19" s="22" customFormat="1" ht="20.100000000000001" customHeight="1" x14ac:dyDescent="0.15">
      <c r="A13" s="19">
        <v>8</v>
      </c>
      <c r="B13" s="16" t="s">
        <v>62</v>
      </c>
      <c r="C13" s="16" t="s">
        <v>42</v>
      </c>
      <c r="D13" s="16" t="s">
        <v>87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250</v>
      </c>
      <c r="R13" s="16" t="s">
        <v>46</v>
      </c>
      <c r="S13" s="16"/>
    </row>
    <row r="14" spans="1:19" s="22" customFormat="1" ht="20.100000000000001" customHeight="1" x14ac:dyDescent="0.15">
      <c r="A14" s="15">
        <v>9</v>
      </c>
      <c r="B14" s="16" t="s">
        <v>62</v>
      </c>
      <c r="C14" s="16" t="s">
        <v>42</v>
      </c>
      <c r="D14" s="16" t="s">
        <v>88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v>250</v>
      </c>
      <c r="R14" s="16" t="s">
        <v>46</v>
      </c>
      <c r="S14" s="16"/>
    </row>
    <row r="15" spans="1:19" s="22" customFormat="1" ht="20.100000000000001" customHeight="1" x14ac:dyDescent="0.15">
      <c r="A15" s="19">
        <v>10</v>
      </c>
      <c r="B15" s="16" t="s">
        <v>62</v>
      </c>
      <c r="C15" s="16" t="s">
        <v>42</v>
      </c>
      <c r="D15" s="16" t="s">
        <v>89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v>250</v>
      </c>
      <c r="R15" s="16" t="s">
        <v>46</v>
      </c>
      <c r="S15" s="16"/>
    </row>
    <row r="16" spans="1:19" s="22" customFormat="1" ht="20.100000000000001" customHeight="1" x14ac:dyDescent="0.15">
      <c r="A16" s="15">
        <v>11</v>
      </c>
      <c r="B16" s="16" t="s">
        <v>62</v>
      </c>
      <c r="C16" s="16" t="s">
        <v>42</v>
      </c>
      <c r="D16" s="16" t="s">
        <v>90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v>250</v>
      </c>
      <c r="R16" s="16" t="s">
        <v>46</v>
      </c>
      <c r="S16" s="16"/>
    </row>
    <row r="17" spans="1:19" s="22" customFormat="1" ht="20.100000000000001" customHeight="1" x14ac:dyDescent="0.15">
      <c r="A17" s="19">
        <v>12</v>
      </c>
      <c r="B17" s="16" t="s">
        <v>62</v>
      </c>
      <c r="C17" s="16" t="s">
        <v>42</v>
      </c>
      <c r="D17" s="16" t="s">
        <v>91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v>250</v>
      </c>
      <c r="R17" s="16" t="s">
        <v>46</v>
      </c>
      <c r="S17" s="16"/>
    </row>
    <row r="18" spans="1:19" s="22" customFormat="1" ht="20.100000000000001" customHeight="1" x14ac:dyDescent="0.15">
      <c r="A18" s="15">
        <v>13</v>
      </c>
      <c r="B18" s="16" t="s">
        <v>62</v>
      </c>
      <c r="C18" s="16" t="s">
        <v>42</v>
      </c>
      <c r="D18" s="16" t="s">
        <v>92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v>250</v>
      </c>
      <c r="R18" s="16" t="s">
        <v>46</v>
      </c>
      <c r="S18" s="16"/>
    </row>
    <row r="19" spans="1:19" s="22" customFormat="1" ht="20.100000000000001" customHeight="1" x14ac:dyDescent="0.15">
      <c r="A19" s="19">
        <v>14</v>
      </c>
      <c r="B19" s="16" t="s">
        <v>62</v>
      </c>
      <c r="C19" s="16" t="s">
        <v>42</v>
      </c>
      <c r="D19" s="16" t="s">
        <v>93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>
        <v>250</v>
      </c>
      <c r="R19" s="16" t="s">
        <v>53</v>
      </c>
      <c r="S19" s="16"/>
    </row>
    <row r="20" spans="1:19" s="22" customFormat="1" ht="20.100000000000001" customHeight="1" x14ac:dyDescent="0.15">
      <c r="A20" s="15">
        <v>15</v>
      </c>
      <c r="B20" s="16" t="s">
        <v>62</v>
      </c>
      <c r="C20" s="16" t="s">
        <v>42</v>
      </c>
      <c r="D20" s="16" t="s">
        <v>94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v>250</v>
      </c>
      <c r="R20" s="16" t="s">
        <v>53</v>
      </c>
      <c r="S20" s="16"/>
    </row>
    <row r="21" spans="1:19" s="22" customFormat="1" ht="20.100000000000001" customHeight="1" x14ac:dyDescent="0.15">
      <c r="A21" s="19">
        <v>16</v>
      </c>
      <c r="B21" s="16" t="s">
        <v>62</v>
      </c>
      <c r="C21" s="16" t="s">
        <v>42</v>
      </c>
      <c r="D21" s="16" t="s">
        <v>95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v>250</v>
      </c>
      <c r="R21" s="16" t="s">
        <v>53</v>
      </c>
      <c r="S21" s="16"/>
    </row>
    <row r="22" spans="1:19" s="22" customFormat="1" ht="20.100000000000001" customHeight="1" x14ac:dyDescent="0.15">
      <c r="A22" s="15">
        <v>17</v>
      </c>
      <c r="B22" s="16" t="s">
        <v>62</v>
      </c>
      <c r="C22" s="16" t="s">
        <v>42</v>
      </c>
      <c r="D22" s="16" t="s">
        <v>96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v>250</v>
      </c>
      <c r="R22" s="16" t="s">
        <v>53</v>
      </c>
      <c r="S22" s="16"/>
    </row>
    <row r="23" spans="1:19" s="22" customFormat="1" ht="20.100000000000001" customHeight="1" x14ac:dyDescent="0.15">
      <c r="A23" s="19">
        <v>18</v>
      </c>
      <c r="B23" s="16" t="s">
        <v>62</v>
      </c>
      <c r="C23" s="16" t="s">
        <v>42</v>
      </c>
      <c r="D23" s="16" t="s">
        <v>97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v>250</v>
      </c>
      <c r="R23" s="16" t="s">
        <v>53</v>
      </c>
      <c r="S23" s="16"/>
    </row>
    <row r="24" spans="1:19" s="22" customFormat="1" ht="20.100000000000001" customHeight="1" x14ac:dyDescent="0.15">
      <c r="A24" s="15">
        <v>19</v>
      </c>
      <c r="B24" s="16" t="s">
        <v>62</v>
      </c>
      <c r="C24" s="16" t="s">
        <v>42</v>
      </c>
      <c r="D24" s="16" t="s">
        <v>98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v>250</v>
      </c>
      <c r="R24" s="16" t="s">
        <v>53</v>
      </c>
      <c r="S24" s="16"/>
    </row>
    <row r="25" spans="1:19" s="22" customFormat="1" ht="20.100000000000001" customHeight="1" x14ac:dyDescent="0.15">
      <c r="A25" s="19">
        <v>20</v>
      </c>
      <c r="B25" s="16" t="s">
        <v>62</v>
      </c>
      <c r="C25" s="16" t="s">
        <v>42</v>
      </c>
      <c r="D25" s="16" t="s">
        <v>99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v>250</v>
      </c>
      <c r="R25" s="16" t="s">
        <v>44</v>
      </c>
      <c r="S25" s="16"/>
    </row>
    <row r="26" spans="1:19" s="22" customFormat="1" ht="20.100000000000001" customHeight="1" x14ac:dyDescent="0.15">
      <c r="A26" s="15">
        <v>21</v>
      </c>
      <c r="B26" s="16" t="s">
        <v>62</v>
      </c>
      <c r="C26" s="16" t="s">
        <v>42</v>
      </c>
      <c r="D26" s="16" t="s">
        <v>100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v>250</v>
      </c>
      <c r="R26" s="16" t="s">
        <v>58</v>
      </c>
      <c r="S26" s="16"/>
    </row>
    <row r="27" spans="1:19" s="22" customFormat="1" ht="20.100000000000001" customHeight="1" x14ac:dyDescent="0.15">
      <c r="A27" s="19">
        <v>22</v>
      </c>
      <c r="B27" s="16" t="s">
        <v>62</v>
      </c>
      <c r="C27" s="16" t="s">
        <v>42</v>
      </c>
      <c r="D27" s="16" t="s">
        <v>101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v>250</v>
      </c>
      <c r="R27" s="16" t="s">
        <v>53</v>
      </c>
      <c r="S27" s="16"/>
    </row>
    <row r="28" spans="1:19" s="22" customFormat="1" ht="20.100000000000001" customHeight="1" x14ac:dyDescent="0.15">
      <c r="A28" s="15">
        <v>23</v>
      </c>
      <c r="B28" s="16" t="s">
        <v>62</v>
      </c>
      <c r="C28" s="16" t="s">
        <v>42</v>
      </c>
      <c r="D28" s="16" t="s">
        <v>102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v>250</v>
      </c>
      <c r="R28" s="16" t="s">
        <v>53</v>
      </c>
      <c r="S28" s="16"/>
    </row>
    <row r="29" spans="1:19" s="22" customFormat="1" ht="20.100000000000001" customHeight="1" x14ac:dyDescent="0.15">
      <c r="A29" s="19">
        <v>24</v>
      </c>
      <c r="B29" s="16" t="s">
        <v>62</v>
      </c>
      <c r="C29" s="16" t="s">
        <v>42</v>
      </c>
      <c r="D29" s="16" t="s">
        <v>103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>
        <v>250</v>
      </c>
      <c r="R29" s="16" t="s">
        <v>53</v>
      </c>
      <c r="S29" s="16"/>
    </row>
    <row r="30" spans="1:19" s="22" customFormat="1" ht="20.100000000000001" customHeight="1" x14ac:dyDescent="0.15">
      <c r="A30" s="15">
        <v>25</v>
      </c>
      <c r="B30" s="16" t="s">
        <v>62</v>
      </c>
      <c r="C30" s="16" t="s">
        <v>42</v>
      </c>
      <c r="D30" s="16" t="s">
        <v>105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>
        <v>250</v>
      </c>
      <c r="R30" s="16" t="s">
        <v>58</v>
      </c>
      <c r="S30" s="16"/>
    </row>
    <row r="31" spans="1:19" s="22" customFormat="1" ht="20.100000000000001" customHeight="1" x14ac:dyDescent="0.15">
      <c r="A31" s="19">
        <v>26</v>
      </c>
      <c r="B31" s="16" t="s">
        <v>62</v>
      </c>
      <c r="C31" s="16" t="s">
        <v>42</v>
      </c>
      <c r="D31" s="16" t="s">
        <v>106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>
        <v>250</v>
      </c>
      <c r="R31" s="16" t="s">
        <v>53</v>
      </c>
      <c r="S31" s="16"/>
    </row>
    <row r="32" spans="1:19" s="22" customFormat="1" ht="20.100000000000001" customHeight="1" x14ac:dyDescent="0.15">
      <c r="A32" s="15">
        <v>27</v>
      </c>
      <c r="B32" s="16" t="s">
        <v>62</v>
      </c>
      <c r="C32" s="16" t="s">
        <v>42</v>
      </c>
      <c r="D32" s="16" t="s">
        <v>107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>
        <v>250</v>
      </c>
      <c r="R32" s="16" t="s">
        <v>58</v>
      </c>
      <c r="S32" s="16"/>
    </row>
    <row r="33" spans="1:19" s="22" customFormat="1" ht="20.100000000000001" customHeight="1" x14ac:dyDescent="0.15">
      <c r="A33" s="19">
        <v>28</v>
      </c>
      <c r="B33" s="16" t="s">
        <v>62</v>
      </c>
      <c r="C33" s="16" t="s">
        <v>42</v>
      </c>
      <c r="D33" s="16" t="s">
        <v>108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>
        <v>250</v>
      </c>
      <c r="R33" s="16" t="s">
        <v>53</v>
      </c>
      <c r="S33" s="16"/>
    </row>
    <row r="34" spans="1:19" s="22" customFormat="1" ht="20.100000000000001" customHeight="1" x14ac:dyDescent="0.15">
      <c r="A34" s="15">
        <v>29</v>
      </c>
      <c r="B34" s="16" t="s">
        <v>62</v>
      </c>
      <c r="C34" s="16" t="s">
        <v>42</v>
      </c>
      <c r="D34" s="16" t="s">
        <v>109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>
        <v>250</v>
      </c>
      <c r="R34" s="16" t="s">
        <v>58</v>
      </c>
      <c r="S34" s="16"/>
    </row>
    <row r="35" spans="1:19" s="22" customFormat="1" ht="20.100000000000001" customHeight="1" x14ac:dyDescent="0.15">
      <c r="A35" s="19">
        <v>30</v>
      </c>
      <c r="B35" s="16" t="s">
        <v>62</v>
      </c>
      <c r="C35" s="16" t="s">
        <v>42</v>
      </c>
      <c r="D35" s="16" t="s">
        <v>110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>
        <v>250</v>
      </c>
      <c r="R35" s="16" t="s">
        <v>58</v>
      </c>
      <c r="S35" s="16"/>
    </row>
    <row r="36" spans="1:19" s="22" customFormat="1" ht="20.100000000000001" customHeight="1" x14ac:dyDescent="0.15">
      <c r="A36" s="15">
        <v>31</v>
      </c>
      <c r="B36" s="16" t="s">
        <v>62</v>
      </c>
      <c r="C36" s="16" t="s">
        <v>42</v>
      </c>
      <c r="D36" s="16" t="s">
        <v>111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>
        <v>250</v>
      </c>
      <c r="R36" s="16" t="s">
        <v>58</v>
      </c>
      <c r="S36" s="16"/>
    </row>
    <row r="37" spans="1:19" s="22" customFormat="1" ht="20.100000000000001" customHeight="1" x14ac:dyDescent="0.15">
      <c r="A37" s="19">
        <v>32</v>
      </c>
      <c r="B37" s="16" t="s">
        <v>62</v>
      </c>
      <c r="C37" s="16" t="s">
        <v>42</v>
      </c>
      <c r="D37" s="16" t="s">
        <v>112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>
        <v>250</v>
      </c>
      <c r="R37" s="16" t="s">
        <v>53</v>
      </c>
      <c r="S37" s="16"/>
    </row>
    <row r="38" spans="1:19" s="22" customFormat="1" ht="20.100000000000001" customHeight="1" x14ac:dyDescent="0.15">
      <c r="A38" s="15">
        <v>33</v>
      </c>
      <c r="B38" s="16" t="s">
        <v>62</v>
      </c>
      <c r="C38" s="16" t="s">
        <v>42</v>
      </c>
      <c r="D38" s="16" t="s">
        <v>113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>
        <v>250</v>
      </c>
      <c r="R38" s="16" t="s">
        <v>53</v>
      </c>
      <c r="S38" s="16"/>
    </row>
    <row r="39" spans="1:19" s="22" customFormat="1" ht="20.100000000000001" customHeight="1" x14ac:dyDescent="0.15">
      <c r="A39" s="19">
        <v>34</v>
      </c>
      <c r="B39" s="16" t="s">
        <v>62</v>
      </c>
      <c r="C39" s="16" t="s">
        <v>42</v>
      </c>
      <c r="D39" s="16" t="s">
        <v>114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>
        <v>250</v>
      </c>
      <c r="R39" s="16" t="s">
        <v>53</v>
      </c>
      <c r="S39" s="16"/>
    </row>
    <row r="40" spans="1:19" s="22" customFormat="1" ht="20.100000000000001" customHeight="1" x14ac:dyDescent="0.15">
      <c r="A40" s="15">
        <v>35</v>
      </c>
      <c r="B40" s="16" t="s">
        <v>62</v>
      </c>
      <c r="C40" s="16" t="s">
        <v>42</v>
      </c>
      <c r="D40" s="16" t="s">
        <v>115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>
        <v>250</v>
      </c>
      <c r="R40" s="16" t="s">
        <v>53</v>
      </c>
      <c r="S40" s="16"/>
    </row>
    <row r="41" spans="1:19" s="22" customFormat="1" ht="20.100000000000001" customHeight="1" x14ac:dyDescent="0.15">
      <c r="A41" s="19">
        <v>36</v>
      </c>
      <c r="B41" s="16" t="s">
        <v>62</v>
      </c>
      <c r="C41" s="16" t="s">
        <v>42</v>
      </c>
      <c r="D41" s="16" t="s">
        <v>116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>
        <v>250</v>
      </c>
      <c r="R41" s="16" t="s">
        <v>53</v>
      </c>
      <c r="S41" s="16"/>
    </row>
    <row r="42" spans="1:19" s="22" customFormat="1" ht="20.100000000000001" customHeight="1" x14ac:dyDescent="0.15">
      <c r="A42" s="15">
        <v>37</v>
      </c>
      <c r="B42" s="16" t="s">
        <v>62</v>
      </c>
      <c r="C42" s="16" t="s">
        <v>42</v>
      </c>
      <c r="D42" s="16" t="s">
        <v>117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>
        <v>250</v>
      </c>
      <c r="R42" s="16" t="s">
        <v>53</v>
      </c>
      <c r="S42" s="16"/>
    </row>
    <row r="43" spans="1:19" s="22" customFormat="1" ht="20.100000000000001" customHeight="1" x14ac:dyDescent="0.15">
      <c r="A43" s="19">
        <v>38</v>
      </c>
      <c r="B43" s="16" t="s">
        <v>62</v>
      </c>
      <c r="C43" s="16" t="s">
        <v>42</v>
      </c>
      <c r="D43" s="16" t="s">
        <v>118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>
        <v>250</v>
      </c>
      <c r="R43" s="16" t="s">
        <v>56</v>
      </c>
      <c r="S43" s="16"/>
    </row>
    <row r="44" spans="1:19" s="22" customFormat="1" ht="20.100000000000001" customHeight="1" x14ac:dyDescent="0.15">
      <c r="A44" s="15">
        <v>39</v>
      </c>
      <c r="B44" s="16" t="s">
        <v>62</v>
      </c>
      <c r="C44" s="16" t="s">
        <v>42</v>
      </c>
      <c r="D44" s="16" t="s">
        <v>119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>
        <v>250</v>
      </c>
      <c r="R44" s="16" t="s">
        <v>56</v>
      </c>
      <c r="S44" s="16"/>
    </row>
    <row r="45" spans="1:19" s="22" customFormat="1" ht="20.100000000000001" customHeight="1" x14ac:dyDescent="0.15">
      <c r="A45" s="19">
        <v>40</v>
      </c>
      <c r="B45" s="16" t="s">
        <v>62</v>
      </c>
      <c r="C45" s="16" t="s">
        <v>42</v>
      </c>
      <c r="D45" s="16" t="s">
        <v>120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>
        <v>250</v>
      </c>
      <c r="R45" s="16" t="s">
        <v>56</v>
      </c>
      <c r="S45" s="16"/>
    </row>
    <row r="46" spans="1:19" s="22" customFormat="1" ht="20.100000000000001" customHeight="1" x14ac:dyDescent="0.15">
      <c r="A46" s="15">
        <v>41</v>
      </c>
      <c r="B46" s="16" t="s">
        <v>62</v>
      </c>
      <c r="C46" s="16" t="s">
        <v>42</v>
      </c>
      <c r="D46" s="16" t="s">
        <v>121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>
        <v>250</v>
      </c>
      <c r="R46" s="16" t="s">
        <v>56</v>
      </c>
      <c r="S46" s="16"/>
    </row>
    <row r="47" spans="1:19" s="22" customFormat="1" ht="20.100000000000001" customHeight="1" x14ac:dyDescent="0.15">
      <c r="A47" s="19">
        <v>42</v>
      </c>
      <c r="B47" s="16" t="s">
        <v>62</v>
      </c>
      <c r="C47" s="16" t="s">
        <v>42</v>
      </c>
      <c r="D47" s="16" t="s">
        <v>122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>
        <v>250</v>
      </c>
      <c r="R47" s="16" t="s">
        <v>56</v>
      </c>
      <c r="S47" s="16"/>
    </row>
    <row r="48" spans="1:19" s="22" customFormat="1" ht="20.100000000000001" customHeight="1" x14ac:dyDescent="0.15">
      <c r="A48" s="15">
        <v>43</v>
      </c>
      <c r="B48" s="16" t="s">
        <v>64</v>
      </c>
      <c r="C48" s="16" t="s">
        <v>42</v>
      </c>
      <c r="D48" s="16" t="s">
        <v>123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>
        <v>250</v>
      </c>
      <c r="R48" s="16" t="s">
        <v>46</v>
      </c>
      <c r="S48" s="16"/>
    </row>
    <row r="49" spans="1:19" s="22" customFormat="1" ht="20.100000000000001" customHeight="1" x14ac:dyDescent="0.15">
      <c r="A49" s="19">
        <v>44</v>
      </c>
      <c r="B49" s="16" t="s">
        <v>64</v>
      </c>
      <c r="C49" s="16" t="s">
        <v>42</v>
      </c>
      <c r="D49" s="16" t="s">
        <v>124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>
        <v>250</v>
      </c>
      <c r="R49" s="16" t="s">
        <v>46</v>
      </c>
      <c r="S49" s="16"/>
    </row>
    <row r="50" spans="1:19" s="22" customFormat="1" ht="20.100000000000001" customHeight="1" x14ac:dyDescent="0.15">
      <c r="A50" s="15">
        <v>45</v>
      </c>
      <c r="B50" s="16" t="s">
        <v>64</v>
      </c>
      <c r="C50" s="16" t="s">
        <v>42</v>
      </c>
      <c r="D50" s="16" t="s">
        <v>125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>
        <v>250</v>
      </c>
      <c r="R50" s="16" t="s">
        <v>46</v>
      </c>
      <c r="S50" s="16"/>
    </row>
    <row r="51" spans="1:19" s="22" customFormat="1" ht="20.100000000000001" customHeight="1" x14ac:dyDescent="0.15">
      <c r="A51" s="19">
        <v>46</v>
      </c>
      <c r="B51" s="16" t="s">
        <v>64</v>
      </c>
      <c r="C51" s="16" t="s">
        <v>42</v>
      </c>
      <c r="D51" s="16" t="s">
        <v>126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>
        <v>250</v>
      </c>
      <c r="R51" s="16" t="s">
        <v>46</v>
      </c>
      <c r="S51" s="16"/>
    </row>
    <row r="52" spans="1:19" s="22" customFormat="1" ht="20.100000000000001" customHeight="1" x14ac:dyDescent="0.15">
      <c r="A52" s="15">
        <v>47</v>
      </c>
      <c r="B52" s="16" t="s">
        <v>64</v>
      </c>
      <c r="C52" s="16" t="s">
        <v>42</v>
      </c>
      <c r="D52" s="16" t="s">
        <v>127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>
        <v>250</v>
      </c>
      <c r="R52" s="16" t="s">
        <v>46</v>
      </c>
      <c r="S52" s="16"/>
    </row>
    <row r="53" spans="1:19" s="22" customFormat="1" ht="20.100000000000001" customHeight="1" x14ac:dyDescent="0.15">
      <c r="A53" s="19">
        <v>48</v>
      </c>
      <c r="B53" s="16" t="s">
        <v>64</v>
      </c>
      <c r="C53" s="16" t="s">
        <v>42</v>
      </c>
      <c r="D53" s="16" t="s">
        <v>128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>
        <v>250</v>
      </c>
      <c r="R53" s="16" t="s">
        <v>46</v>
      </c>
      <c r="S53" s="16"/>
    </row>
    <row r="54" spans="1:19" s="22" customFormat="1" ht="20.100000000000001" customHeight="1" x14ac:dyDescent="0.15">
      <c r="A54" s="15">
        <v>49</v>
      </c>
      <c r="B54" s="16" t="s">
        <v>64</v>
      </c>
      <c r="C54" s="16" t="s">
        <v>42</v>
      </c>
      <c r="D54" s="16" t="s">
        <v>129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>
        <v>250</v>
      </c>
      <c r="R54" s="16" t="s">
        <v>46</v>
      </c>
      <c r="S54" s="16"/>
    </row>
    <row r="55" spans="1:19" s="22" customFormat="1" ht="20.100000000000001" customHeight="1" x14ac:dyDescent="0.15">
      <c r="A55" s="19">
        <v>50</v>
      </c>
      <c r="B55" s="16" t="s">
        <v>64</v>
      </c>
      <c r="C55" s="16" t="s">
        <v>42</v>
      </c>
      <c r="D55" s="16" t="s">
        <v>130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>
        <v>250</v>
      </c>
      <c r="R55" s="16" t="s">
        <v>46</v>
      </c>
      <c r="S55" s="16"/>
    </row>
    <row r="56" spans="1:19" s="22" customFormat="1" ht="20.100000000000001" customHeight="1" x14ac:dyDescent="0.15">
      <c r="A56" s="15">
        <v>51</v>
      </c>
      <c r="B56" s="16" t="s">
        <v>64</v>
      </c>
      <c r="C56" s="16" t="s">
        <v>42</v>
      </c>
      <c r="D56" s="16" t="s">
        <v>131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>
        <v>250</v>
      </c>
      <c r="R56" s="16" t="s">
        <v>46</v>
      </c>
      <c r="S56" s="16"/>
    </row>
    <row r="57" spans="1:19" s="22" customFormat="1" ht="20.100000000000001" customHeight="1" x14ac:dyDescent="0.15">
      <c r="A57" s="19">
        <v>52</v>
      </c>
      <c r="B57" s="16" t="s">
        <v>64</v>
      </c>
      <c r="C57" s="16" t="s">
        <v>42</v>
      </c>
      <c r="D57" s="16" t="s">
        <v>132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>
        <v>250</v>
      </c>
      <c r="R57" s="16" t="s">
        <v>46</v>
      </c>
      <c r="S57" s="16"/>
    </row>
    <row r="58" spans="1:19" s="22" customFormat="1" ht="20.100000000000001" customHeight="1" x14ac:dyDescent="0.15">
      <c r="A58" s="15">
        <v>53</v>
      </c>
      <c r="B58" s="16" t="s">
        <v>64</v>
      </c>
      <c r="C58" s="16" t="s">
        <v>42</v>
      </c>
      <c r="D58" s="16" t="s">
        <v>133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>
        <v>250</v>
      </c>
      <c r="R58" s="16" t="s">
        <v>46</v>
      </c>
      <c r="S58" s="16"/>
    </row>
    <row r="59" spans="1:19" s="22" customFormat="1" ht="20.100000000000001" customHeight="1" x14ac:dyDescent="0.15">
      <c r="A59" s="19">
        <v>54</v>
      </c>
      <c r="B59" s="16" t="s">
        <v>64</v>
      </c>
      <c r="C59" s="16" t="s">
        <v>42</v>
      </c>
      <c r="D59" s="16" t="s">
        <v>134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>
        <v>250</v>
      </c>
      <c r="R59" s="16" t="s">
        <v>46</v>
      </c>
      <c r="S59" s="16"/>
    </row>
    <row r="60" spans="1:19" s="22" customFormat="1" ht="20.100000000000001" customHeight="1" x14ac:dyDescent="0.15">
      <c r="A60" s="15">
        <v>55</v>
      </c>
      <c r="B60" s="16" t="s">
        <v>64</v>
      </c>
      <c r="C60" s="16" t="s">
        <v>42</v>
      </c>
      <c r="D60" s="16" t="s">
        <v>135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>
        <v>250</v>
      </c>
      <c r="R60" s="16" t="s">
        <v>48</v>
      </c>
      <c r="S60" s="16"/>
    </row>
    <row r="61" spans="1:19" s="22" customFormat="1" ht="20.100000000000001" customHeight="1" x14ac:dyDescent="0.15">
      <c r="A61" s="19">
        <v>56</v>
      </c>
      <c r="B61" s="16" t="s">
        <v>64</v>
      </c>
      <c r="C61" s="16" t="s">
        <v>42</v>
      </c>
      <c r="D61" s="16" t="s">
        <v>136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>
        <v>250</v>
      </c>
      <c r="R61" s="16" t="s">
        <v>46</v>
      </c>
      <c r="S61" s="16"/>
    </row>
    <row r="62" spans="1:19" s="22" customFormat="1" ht="20.100000000000001" customHeight="1" x14ac:dyDescent="0.15">
      <c r="A62" s="15">
        <v>57</v>
      </c>
      <c r="B62" s="16" t="s">
        <v>64</v>
      </c>
      <c r="C62" s="16" t="s">
        <v>42</v>
      </c>
      <c r="D62" s="16" t="s">
        <v>137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>
        <v>250</v>
      </c>
      <c r="R62" s="16" t="s">
        <v>46</v>
      </c>
      <c r="S62" s="16"/>
    </row>
    <row r="63" spans="1:19" s="22" customFormat="1" ht="20.100000000000001" customHeight="1" x14ac:dyDescent="0.15">
      <c r="A63" s="19">
        <v>58</v>
      </c>
      <c r="B63" s="16" t="s">
        <v>64</v>
      </c>
      <c r="C63" s="16" t="s">
        <v>42</v>
      </c>
      <c r="D63" s="16" t="s">
        <v>138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>
        <v>250</v>
      </c>
      <c r="R63" s="16" t="s">
        <v>46</v>
      </c>
      <c r="S63" s="16"/>
    </row>
    <row r="64" spans="1:19" s="22" customFormat="1" ht="20.100000000000001" customHeight="1" x14ac:dyDescent="0.15">
      <c r="A64" s="15">
        <v>59</v>
      </c>
      <c r="B64" s="16" t="s">
        <v>64</v>
      </c>
      <c r="C64" s="16" t="s">
        <v>42</v>
      </c>
      <c r="D64" s="16" t="s">
        <v>139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>
        <v>250</v>
      </c>
      <c r="R64" s="16" t="s">
        <v>46</v>
      </c>
      <c r="S64" s="16"/>
    </row>
    <row r="65" spans="1:19" s="22" customFormat="1" ht="20.100000000000001" customHeight="1" x14ac:dyDescent="0.15">
      <c r="A65" s="19">
        <v>60</v>
      </c>
      <c r="B65" s="16" t="s">
        <v>64</v>
      </c>
      <c r="C65" s="16" t="s">
        <v>42</v>
      </c>
      <c r="D65" s="16" t="s">
        <v>140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>
        <v>250</v>
      </c>
      <c r="R65" s="16" t="s">
        <v>46</v>
      </c>
      <c r="S65" s="16"/>
    </row>
    <row r="66" spans="1:19" s="22" customFormat="1" ht="20.100000000000001" customHeight="1" x14ac:dyDescent="0.15">
      <c r="A66" s="15">
        <v>61</v>
      </c>
      <c r="B66" s="16" t="s">
        <v>64</v>
      </c>
      <c r="C66" s="16" t="s">
        <v>42</v>
      </c>
      <c r="D66" s="16" t="s">
        <v>141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>
        <v>250</v>
      </c>
      <c r="R66" s="16" t="s">
        <v>46</v>
      </c>
      <c r="S66" s="16"/>
    </row>
    <row r="67" spans="1:19" s="22" customFormat="1" ht="20.100000000000001" customHeight="1" x14ac:dyDescent="0.15">
      <c r="A67" s="19">
        <v>62</v>
      </c>
      <c r="B67" s="16" t="s">
        <v>64</v>
      </c>
      <c r="C67" s="16" t="s">
        <v>42</v>
      </c>
      <c r="D67" s="16" t="s">
        <v>142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>
        <v>250</v>
      </c>
      <c r="R67" s="16" t="s">
        <v>46</v>
      </c>
      <c r="S67" s="16"/>
    </row>
    <row r="68" spans="1:19" s="22" customFormat="1" ht="20.100000000000001" customHeight="1" x14ac:dyDescent="0.15">
      <c r="A68" s="15">
        <v>63</v>
      </c>
      <c r="B68" s="16" t="s">
        <v>64</v>
      </c>
      <c r="C68" s="16" t="s">
        <v>42</v>
      </c>
      <c r="D68" s="16" t="s">
        <v>143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>
        <v>250</v>
      </c>
      <c r="R68" s="16" t="s">
        <v>52</v>
      </c>
      <c r="S68" s="16"/>
    </row>
    <row r="69" spans="1:19" s="22" customFormat="1" ht="20.100000000000001" customHeight="1" x14ac:dyDescent="0.15">
      <c r="A69" s="19">
        <v>64</v>
      </c>
      <c r="B69" s="16" t="s">
        <v>64</v>
      </c>
      <c r="C69" s="16" t="s">
        <v>42</v>
      </c>
      <c r="D69" s="16" t="s">
        <v>144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>
        <v>250</v>
      </c>
      <c r="R69" s="16" t="s">
        <v>52</v>
      </c>
      <c r="S69" s="16"/>
    </row>
    <row r="70" spans="1:19" s="22" customFormat="1" ht="20.100000000000001" customHeight="1" x14ac:dyDescent="0.15">
      <c r="A70" s="15">
        <v>65</v>
      </c>
      <c r="B70" s="16" t="s">
        <v>64</v>
      </c>
      <c r="C70" s="16" t="s">
        <v>42</v>
      </c>
      <c r="D70" s="16" t="s">
        <v>145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>
        <v>250</v>
      </c>
      <c r="R70" s="16" t="s">
        <v>52</v>
      </c>
      <c r="S70" s="16"/>
    </row>
    <row r="71" spans="1:19" s="22" customFormat="1" ht="20.100000000000001" customHeight="1" x14ac:dyDescent="0.15">
      <c r="A71" s="19">
        <v>66</v>
      </c>
      <c r="B71" s="16" t="s">
        <v>64</v>
      </c>
      <c r="C71" s="16" t="s">
        <v>42</v>
      </c>
      <c r="D71" s="16" t="s">
        <v>146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>
        <v>250</v>
      </c>
      <c r="R71" s="16" t="s">
        <v>53</v>
      </c>
      <c r="S71" s="16"/>
    </row>
    <row r="72" spans="1:19" s="22" customFormat="1" ht="20.100000000000001" customHeight="1" x14ac:dyDescent="0.15">
      <c r="A72" s="15">
        <v>67</v>
      </c>
      <c r="B72" s="16" t="s">
        <v>64</v>
      </c>
      <c r="C72" s="16" t="s">
        <v>42</v>
      </c>
      <c r="D72" s="16" t="s">
        <v>147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>
        <v>250</v>
      </c>
      <c r="R72" s="16" t="s">
        <v>58</v>
      </c>
      <c r="S72" s="16"/>
    </row>
    <row r="73" spans="1:19" s="22" customFormat="1" ht="20.100000000000001" customHeight="1" x14ac:dyDescent="0.15">
      <c r="A73" s="19">
        <v>68</v>
      </c>
      <c r="B73" s="16" t="s">
        <v>64</v>
      </c>
      <c r="C73" s="16" t="s">
        <v>42</v>
      </c>
      <c r="D73" s="16" t="s">
        <v>148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>
        <v>250</v>
      </c>
      <c r="R73" s="16" t="s">
        <v>58</v>
      </c>
      <c r="S73" s="16"/>
    </row>
    <row r="74" spans="1:19" s="22" customFormat="1" ht="20.100000000000001" customHeight="1" x14ac:dyDescent="0.15">
      <c r="A74" s="15">
        <v>69</v>
      </c>
      <c r="B74" s="16" t="s">
        <v>64</v>
      </c>
      <c r="C74" s="16" t="s">
        <v>42</v>
      </c>
      <c r="D74" s="16" t="s">
        <v>149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>
        <v>250</v>
      </c>
      <c r="R74" s="16" t="s">
        <v>56</v>
      </c>
      <c r="S74" s="16"/>
    </row>
    <row r="75" spans="1:19" s="22" customFormat="1" ht="20.100000000000001" customHeight="1" x14ac:dyDescent="0.15">
      <c r="A75" s="19">
        <v>70</v>
      </c>
      <c r="B75" s="16" t="s">
        <v>64</v>
      </c>
      <c r="C75" s="16" t="s">
        <v>42</v>
      </c>
      <c r="D75" s="16" t="s">
        <v>150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>
        <v>250</v>
      </c>
      <c r="R75" s="16" t="s">
        <v>56</v>
      </c>
      <c r="S75" s="16"/>
    </row>
    <row r="76" spans="1:19" s="22" customFormat="1" ht="20.100000000000001" customHeight="1" x14ac:dyDescent="0.15">
      <c r="A76" s="15">
        <v>71</v>
      </c>
      <c r="B76" s="16" t="s">
        <v>64</v>
      </c>
      <c r="C76" s="16" t="s">
        <v>42</v>
      </c>
      <c r="D76" s="16" t="s">
        <v>151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>
        <v>250</v>
      </c>
      <c r="R76" s="16" t="s">
        <v>58</v>
      </c>
      <c r="S76" s="16"/>
    </row>
    <row r="77" spans="1:19" s="22" customFormat="1" ht="20.100000000000001" customHeight="1" x14ac:dyDescent="0.15">
      <c r="A77" s="19">
        <v>72</v>
      </c>
      <c r="B77" s="16" t="s">
        <v>64</v>
      </c>
      <c r="C77" s="16" t="s">
        <v>42</v>
      </c>
      <c r="D77" s="16" t="s">
        <v>152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>
        <v>250</v>
      </c>
      <c r="R77" s="16" t="s">
        <v>58</v>
      </c>
      <c r="S77" s="16"/>
    </row>
    <row r="78" spans="1:19" s="22" customFormat="1" ht="20.100000000000001" customHeight="1" x14ac:dyDescent="0.15">
      <c r="A78" s="15">
        <v>73</v>
      </c>
      <c r="B78" s="16" t="s">
        <v>67</v>
      </c>
      <c r="C78" s="16" t="s">
        <v>153</v>
      </c>
      <c r="D78" s="16" t="s">
        <v>154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>
        <v>250</v>
      </c>
      <c r="R78" s="16" t="s">
        <v>44</v>
      </c>
      <c r="S78" s="16"/>
    </row>
    <row r="79" spans="1:19" s="22" customFormat="1" ht="20.100000000000001" customHeight="1" x14ac:dyDescent="0.15">
      <c r="A79" s="19">
        <v>74</v>
      </c>
      <c r="B79" s="16" t="s">
        <v>67</v>
      </c>
      <c r="C79" s="16" t="s">
        <v>42</v>
      </c>
      <c r="D79" s="16" t="s">
        <v>155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>
        <v>250</v>
      </c>
      <c r="R79" s="16" t="s">
        <v>44</v>
      </c>
      <c r="S79" s="16"/>
    </row>
    <row r="80" spans="1:19" s="22" customFormat="1" ht="20.100000000000001" customHeight="1" x14ac:dyDescent="0.15">
      <c r="A80" s="15">
        <v>75</v>
      </c>
      <c r="B80" s="16" t="s">
        <v>67</v>
      </c>
      <c r="C80" s="16" t="s">
        <v>42</v>
      </c>
      <c r="D80" s="16" t="s">
        <v>156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>
        <v>250</v>
      </c>
      <c r="R80" s="16" t="s">
        <v>44</v>
      </c>
      <c r="S80" s="16"/>
    </row>
    <row r="81" spans="1:19" s="22" customFormat="1" ht="20.100000000000001" customHeight="1" x14ac:dyDescent="0.15">
      <c r="A81" s="19">
        <v>76</v>
      </c>
      <c r="B81" s="16" t="s">
        <v>67</v>
      </c>
      <c r="C81" s="16" t="s">
        <v>42</v>
      </c>
      <c r="D81" s="16" t="s">
        <v>157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>
        <v>250</v>
      </c>
      <c r="R81" s="16" t="s">
        <v>44</v>
      </c>
      <c r="S81" s="16"/>
    </row>
    <row r="82" spans="1:19" s="22" customFormat="1" ht="20.100000000000001" customHeight="1" x14ac:dyDescent="0.15">
      <c r="A82" s="15">
        <v>77</v>
      </c>
      <c r="B82" s="16" t="s">
        <v>67</v>
      </c>
      <c r="C82" s="16" t="s">
        <v>42</v>
      </c>
      <c r="D82" s="16" t="s">
        <v>158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>
        <v>250</v>
      </c>
      <c r="R82" s="16" t="s">
        <v>44</v>
      </c>
      <c r="S82" s="16"/>
    </row>
    <row r="83" spans="1:19" s="22" customFormat="1" ht="20.100000000000001" customHeight="1" x14ac:dyDescent="0.15">
      <c r="A83" s="19">
        <v>78</v>
      </c>
      <c r="B83" s="16" t="s">
        <v>67</v>
      </c>
      <c r="C83" s="16" t="s">
        <v>42</v>
      </c>
      <c r="D83" s="16" t="s">
        <v>159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>
        <v>250</v>
      </c>
      <c r="R83" s="16" t="s">
        <v>44</v>
      </c>
      <c r="S83" s="16"/>
    </row>
    <row r="84" spans="1:19" s="22" customFormat="1" ht="20.100000000000001" customHeight="1" x14ac:dyDescent="0.15">
      <c r="A84" s="15">
        <v>79</v>
      </c>
      <c r="B84" s="16" t="s">
        <v>67</v>
      </c>
      <c r="C84" s="16" t="s">
        <v>42</v>
      </c>
      <c r="D84" s="16" t="s">
        <v>160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>
        <v>250</v>
      </c>
      <c r="R84" s="16" t="s">
        <v>44</v>
      </c>
      <c r="S84" s="16"/>
    </row>
    <row r="85" spans="1:19" s="22" customFormat="1" ht="20.100000000000001" customHeight="1" x14ac:dyDescent="0.15">
      <c r="A85" s="19">
        <v>80</v>
      </c>
      <c r="B85" s="16" t="s">
        <v>67</v>
      </c>
      <c r="C85" s="16" t="s">
        <v>42</v>
      </c>
      <c r="D85" s="16" t="s">
        <v>161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>
        <v>250</v>
      </c>
      <c r="R85" s="16" t="s">
        <v>53</v>
      </c>
      <c r="S85" s="16"/>
    </row>
    <row r="86" spans="1:19" s="22" customFormat="1" ht="20.100000000000001" customHeight="1" x14ac:dyDescent="0.15">
      <c r="A86" s="15">
        <v>81</v>
      </c>
      <c r="B86" s="16" t="s">
        <v>67</v>
      </c>
      <c r="C86" s="16" t="s">
        <v>42</v>
      </c>
      <c r="D86" s="16" t="s">
        <v>162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>
        <v>250</v>
      </c>
      <c r="R86" s="16" t="s">
        <v>46</v>
      </c>
      <c r="S86" s="16"/>
    </row>
    <row r="87" spans="1:19" s="22" customFormat="1" ht="20.100000000000001" customHeight="1" x14ac:dyDescent="0.15">
      <c r="A87" s="19">
        <v>82</v>
      </c>
      <c r="B87" s="16" t="s">
        <v>67</v>
      </c>
      <c r="C87" s="16" t="s">
        <v>42</v>
      </c>
      <c r="D87" s="16" t="s">
        <v>163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>
        <v>250</v>
      </c>
      <c r="R87" s="16" t="s">
        <v>46</v>
      </c>
      <c r="S87" s="16"/>
    </row>
    <row r="88" spans="1:19" s="22" customFormat="1" ht="20.100000000000001" customHeight="1" x14ac:dyDescent="0.15">
      <c r="A88" s="15">
        <v>83</v>
      </c>
      <c r="B88" s="16" t="s">
        <v>67</v>
      </c>
      <c r="C88" s="16" t="s">
        <v>42</v>
      </c>
      <c r="D88" s="16" t="s">
        <v>164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>
        <v>250</v>
      </c>
      <c r="R88" s="16" t="s">
        <v>46</v>
      </c>
      <c r="S88" s="16"/>
    </row>
    <row r="89" spans="1:19" s="22" customFormat="1" ht="20.100000000000001" customHeight="1" x14ac:dyDescent="0.15">
      <c r="A89" s="19">
        <v>84</v>
      </c>
      <c r="B89" s="16" t="s">
        <v>67</v>
      </c>
      <c r="C89" s="16" t="s">
        <v>42</v>
      </c>
      <c r="D89" s="16" t="s">
        <v>165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>
        <v>250</v>
      </c>
      <c r="R89" s="16" t="s">
        <v>46</v>
      </c>
      <c r="S89" s="16"/>
    </row>
    <row r="90" spans="1:19" s="22" customFormat="1" ht="20.100000000000001" customHeight="1" x14ac:dyDescent="0.15">
      <c r="A90" s="15">
        <v>85</v>
      </c>
      <c r="B90" s="16" t="s">
        <v>68</v>
      </c>
      <c r="C90" s="16" t="s">
        <v>42</v>
      </c>
      <c r="D90" s="16" t="s">
        <v>166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>
        <v>250</v>
      </c>
      <c r="R90" s="16" t="s">
        <v>44</v>
      </c>
      <c r="S90" s="16"/>
    </row>
    <row r="91" spans="1:19" s="22" customFormat="1" ht="20.100000000000001" customHeight="1" x14ac:dyDescent="0.15">
      <c r="A91" s="19">
        <v>86</v>
      </c>
      <c r="B91" s="16" t="s">
        <v>68</v>
      </c>
      <c r="C91" s="16" t="s">
        <v>42</v>
      </c>
      <c r="D91" s="16" t="s">
        <v>167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>
        <v>250</v>
      </c>
      <c r="R91" s="16" t="s">
        <v>46</v>
      </c>
      <c r="S91" s="16"/>
    </row>
    <row r="92" spans="1:19" s="22" customFormat="1" ht="20.100000000000001" customHeight="1" x14ac:dyDescent="0.15">
      <c r="A92" s="15">
        <v>87</v>
      </c>
      <c r="B92" s="16" t="s">
        <v>68</v>
      </c>
      <c r="C92" s="16" t="s">
        <v>42</v>
      </c>
      <c r="D92" s="16" t="s">
        <v>168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>
        <v>250</v>
      </c>
      <c r="R92" s="16" t="s">
        <v>52</v>
      </c>
      <c r="S92" s="16"/>
    </row>
    <row r="93" spans="1:19" s="22" customFormat="1" ht="20.100000000000001" customHeight="1" x14ac:dyDescent="0.15">
      <c r="A93" s="19">
        <v>88</v>
      </c>
      <c r="B93" s="16" t="s">
        <v>68</v>
      </c>
      <c r="C93" s="16" t="s">
        <v>42</v>
      </c>
      <c r="D93" s="16" t="s">
        <v>169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>
        <v>250</v>
      </c>
      <c r="R93" s="16" t="s">
        <v>56</v>
      </c>
      <c r="S93" s="16"/>
    </row>
    <row r="94" spans="1:19" s="22" customFormat="1" ht="20.100000000000001" customHeight="1" x14ac:dyDescent="0.15">
      <c r="A94" s="15">
        <v>89</v>
      </c>
      <c r="B94" s="16" t="s">
        <v>68</v>
      </c>
      <c r="C94" s="16" t="s">
        <v>42</v>
      </c>
      <c r="D94" s="16" t="s">
        <v>170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>
        <v>250</v>
      </c>
      <c r="R94" s="16" t="s">
        <v>57</v>
      </c>
      <c r="S94" s="16"/>
    </row>
    <row r="95" spans="1:19" s="22" customFormat="1" ht="20.100000000000001" customHeight="1" x14ac:dyDescent="0.15">
      <c r="A95" s="19">
        <v>90</v>
      </c>
      <c r="B95" s="16" t="s">
        <v>68</v>
      </c>
      <c r="C95" s="16" t="s">
        <v>42</v>
      </c>
      <c r="D95" s="16" t="s">
        <v>171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>
        <v>250</v>
      </c>
      <c r="R95" s="16" t="s">
        <v>57</v>
      </c>
      <c r="S95" s="16"/>
    </row>
    <row r="96" spans="1:19" s="22" customFormat="1" ht="20.100000000000001" customHeight="1" x14ac:dyDescent="0.15">
      <c r="A96" s="15">
        <v>91</v>
      </c>
      <c r="B96" s="16" t="s">
        <v>68</v>
      </c>
      <c r="C96" s="16" t="s">
        <v>42</v>
      </c>
      <c r="D96" s="16" t="s">
        <v>172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>
        <v>250</v>
      </c>
      <c r="R96" s="16" t="s">
        <v>59</v>
      </c>
      <c r="S96" s="16"/>
    </row>
    <row r="97" spans="1:19" s="22" customFormat="1" ht="20.100000000000001" customHeight="1" x14ac:dyDescent="0.15">
      <c r="A97" s="19">
        <v>92</v>
      </c>
      <c r="B97" s="16" t="s">
        <v>68</v>
      </c>
      <c r="C97" s="16" t="s">
        <v>42</v>
      </c>
      <c r="D97" s="16" t="s">
        <v>173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>
        <v>250</v>
      </c>
      <c r="R97" s="16" t="s">
        <v>53</v>
      </c>
      <c r="S97" s="16"/>
    </row>
    <row r="98" spans="1:19" s="22" customFormat="1" ht="20.100000000000001" customHeight="1" x14ac:dyDescent="0.15">
      <c r="A98" s="15">
        <v>93</v>
      </c>
      <c r="B98" s="16" t="s">
        <v>61</v>
      </c>
      <c r="C98" s="16" t="s">
        <v>42</v>
      </c>
      <c r="D98" s="16" t="s">
        <v>174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>
        <v>250</v>
      </c>
      <c r="R98" s="16" t="s">
        <v>46</v>
      </c>
      <c r="S98" s="16"/>
    </row>
    <row r="99" spans="1:19" s="22" customFormat="1" ht="20.100000000000001" customHeight="1" x14ac:dyDescent="0.15">
      <c r="A99" s="19">
        <v>94</v>
      </c>
      <c r="B99" s="16" t="s">
        <v>61</v>
      </c>
      <c r="C99" s="16" t="s">
        <v>42</v>
      </c>
      <c r="D99" s="16" t="s">
        <v>175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>
        <v>250</v>
      </c>
      <c r="R99" s="16" t="s">
        <v>46</v>
      </c>
      <c r="S99" s="16"/>
    </row>
    <row r="100" spans="1:19" s="22" customFormat="1" ht="20.100000000000001" customHeight="1" x14ac:dyDescent="0.15">
      <c r="A100" s="15">
        <v>95</v>
      </c>
      <c r="B100" s="16" t="s">
        <v>61</v>
      </c>
      <c r="C100" s="16" t="s">
        <v>42</v>
      </c>
      <c r="D100" s="16" t="s">
        <v>176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>
        <v>250</v>
      </c>
      <c r="R100" s="16" t="s">
        <v>46</v>
      </c>
      <c r="S100" s="16"/>
    </row>
    <row r="101" spans="1:19" s="22" customFormat="1" ht="20.100000000000001" customHeight="1" x14ac:dyDescent="0.15">
      <c r="A101" s="19">
        <v>96</v>
      </c>
      <c r="B101" s="16" t="s">
        <v>61</v>
      </c>
      <c r="C101" s="16" t="s">
        <v>42</v>
      </c>
      <c r="D101" s="16" t="s">
        <v>177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>
        <v>250</v>
      </c>
      <c r="R101" s="16" t="s">
        <v>46</v>
      </c>
      <c r="S101" s="16"/>
    </row>
    <row r="102" spans="1:19" s="22" customFormat="1" ht="20.100000000000001" customHeight="1" x14ac:dyDescent="0.15">
      <c r="A102" s="15">
        <v>97</v>
      </c>
      <c r="B102" s="16" t="s">
        <v>61</v>
      </c>
      <c r="C102" s="16" t="s">
        <v>42</v>
      </c>
      <c r="D102" s="16" t="s">
        <v>178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>
        <v>250</v>
      </c>
      <c r="R102" s="16" t="s">
        <v>46</v>
      </c>
      <c r="S102" s="16"/>
    </row>
    <row r="103" spans="1:19" s="22" customFormat="1" ht="20.100000000000001" customHeight="1" x14ac:dyDescent="0.15">
      <c r="A103" s="19">
        <v>98</v>
      </c>
      <c r="B103" s="16" t="s">
        <v>61</v>
      </c>
      <c r="C103" s="16" t="s">
        <v>42</v>
      </c>
      <c r="D103" s="16" t="s">
        <v>179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>
        <v>250</v>
      </c>
      <c r="R103" s="16" t="s">
        <v>46</v>
      </c>
      <c r="S103" s="16"/>
    </row>
    <row r="104" spans="1:19" s="22" customFormat="1" ht="20.100000000000001" customHeight="1" x14ac:dyDescent="0.15">
      <c r="A104" s="15">
        <v>99</v>
      </c>
      <c r="B104" s="16" t="s">
        <v>61</v>
      </c>
      <c r="C104" s="16" t="s">
        <v>42</v>
      </c>
      <c r="D104" s="16" t="s">
        <v>180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>
        <v>250</v>
      </c>
      <c r="R104" s="16" t="s">
        <v>46</v>
      </c>
      <c r="S104" s="16"/>
    </row>
    <row r="105" spans="1:19" s="22" customFormat="1" ht="20.100000000000001" customHeight="1" x14ac:dyDescent="0.15">
      <c r="A105" s="19">
        <v>100</v>
      </c>
      <c r="B105" s="16" t="s">
        <v>61</v>
      </c>
      <c r="C105" s="16" t="s">
        <v>42</v>
      </c>
      <c r="D105" s="16" t="s">
        <v>181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>
        <v>250</v>
      </c>
      <c r="R105" s="16" t="s">
        <v>46</v>
      </c>
      <c r="S105" s="16"/>
    </row>
    <row r="106" spans="1:19" s="22" customFormat="1" ht="20.100000000000001" customHeight="1" x14ac:dyDescent="0.15">
      <c r="A106" s="15">
        <v>101</v>
      </c>
      <c r="B106" s="16" t="s">
        <v>61</v>
      </c>
      <c r="C106" s="16" t="s">
        <v>42</v>
      </c>
      <c r="D106" s="16" t="s">
        <v>182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>
        <v>250</v>
      </c>
      <c r="R106" s="16" t="s">
        <v>46</v>
      </c>
      <c r="S106" s="16"/>
    </row>
    <row r="107" spans="1:19" s="22" customFormat="1" ht="20.100000000000001" customHeight="1" x14ac:dyDescent="0.15">
      <c r="A107" s="19">
        <v>102</v>
      </c>
      <c r="B107" s="16" t="s">
        <v>61</v>
      </c>
      <c r="C107" s="16" t="s">
        <v>42</v>
      </c>
      <c r="D107" s="16" t="s">
        <v>183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>
        <v>250</v>
      </c>
      <c r="R107" s="16" t="s">
        <v>46</v>
      </c>
      <c r="S107" s="16"/>
    </row>
    <row r="108" spans="1:19" s="22" customFormat="1" ht="20.100000000000001" customHeight="1" x14ac:dyDescent="0.15">
      <c r="A108" s="15">
        <v>103</v>
      </c>
      <c r="B108" s="16" t="s">
        <v>61</v>
      </c>
      <c r="C108" s="16" t="s">
        <v>42</v>
      </c>
      <c r="D108" s="16" t="s">
        <v>184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>
        <v>250</v>
      </c>
      <c r="R108" s="16" t="s">
        <v>53</v>
      </c>
      <c r="S108" s="16"/>
    </row>
    <row r="109" spans="1:19" s="22" customFormat="1" ht="20.100000000000001" customHeight="1" x14ac:dyDescent="0.15">
      <c r="A109" s="19">
        <v>104</v>
      </c>
      <c r="B109" s="16" t="s">
        <v>61</v>
      </c>
      <c r="C109" s="16" t="s">
        <v>42</v>
      </c>
      <c r="D109" s="16" t="s">
        <v>185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>
        <v>250</v>
      </c>
      <c r="R109" s="16" t="s">
        <v>53</v>
      </c>
      <c r="S109" s="16"/>
    </row>
    <row r="110" spans="1:19" s="22" customFormat="1" ht="20.100000000000001" customHeight="1" x14ac:dyDescent="0.15">
      <c r="A110" s="15">
        <v>105</v>
      </c>
      <c r="B110" s="16" t="s">
        <v>61</v>
      </c>
      <c r="C110" s="16" t="s">
        <v>42</v>
      </c>
      <c r="D110" s="16" t="s">
        <v>186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>
        <v>250</v>
      </c>
      <c r="R110" s="16" t="s">
        <v>53</v>
      </c>
      <c r="S110" s="16"/>
    </row>
    <row r="111" spans="1:19" s="22" customFormat="1" ht="20.100000000000001" customHeight="1" x14ac:dyDescent="0.15">
      <c r="A111" s="19">
        <v>106</v>
      </c>
      <c r="B111" s="16" t="s">
        <v>61</v>
      </c>
      <c r="C111" s="16" t="s">
        <v>42</v>
      </c>
      <c r="D111" s="16" t="s">
        <v>187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>
        <v>250</v>
      </c>
      <c r="R111" s="16" t="s">
        <v>58</v>
      </c>
      <c r="S111" s="16"/>
    </row>
    <row r="112" spans="1:19" s="22" customFormat="1" ht="20.100000000000001" customHeight="1" x14ac:dyDescent="0.15">
      <c r="A112" s="15">
        <v>107</v>
      </c>
      <c r="B112" s="16" t="s">
        <v>61</v>
      </c>
      <c r="C112" s="16" t="s">
        <v>42</v>
      </c>
      <c r="D112" s="16" t="s">
        <v>188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>
        <v>250</v>
      </c>
      <c r="R112" s="16" t="s">
        <v>53</v>
      </c>
      <c r="S112" s="16"/>
    </row>
    <row r="113" spans="1:19" s="22" customFormat="1" ht="20.100000000000001" customHeight="1" x14ac:dyDescent="0.15">
      <c r="A113" s="19">
        <v>108</v>
      </c>
      <c r="B113" s="16" t="s">
        <v>61</v>
      </c>
      <c r="C113" s="16" t="s">
        <v>42</v>
      </c>
      <c r="D113" s="16" t="s">
        <v>189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>
        <v>250</v>
      </c>
      <c r="R113" s="16" t="s">
        <v>53</v>
      </c>
      <c r="S113" s="16"/>
    </row>
    <row r="114" spans="1:19" s="22" customFormat="1" ht="20.100000000000001" customHeight="1" x14ac:dyDescent="0.15">
      <c r="A114" s="15">
        <v>109</v>
      </c>
      <c r="B114" s="16" t="s">
        <v>61</v>
      </c>
      <c r="C114" s="16" t="s">
        <v>42</v>
      </c>
      <c r="D114" s="16" t="s">
        <v>190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>
        <v>250</v>
      </c>
      <c r="R114" s="16" t="s">
        <v>53</v>
      </c>
      <c r="S114" s="16"/>
    </row>
    <row r="115" spans="1:19" s="22" customFormat="1" ht="20.100000000000001" customHeight="1" x14ac:dyDescent="0.15">
      <c r="A115" s="19">
        <v>110</v>
      </c>
      <c r="B115" s="16" t="s">
        <v>61</v>
      </c>
      <c r="C115" s="16" t="s">
        <v>42</v>
      </c>
      <c r="D115" s="16" t="s">
        <v>191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>
        <v>250</v>
      </c>
      <c r="R115" s="16" t="s">
        <v>53</v>
      </c>
      <c r="S115" s="16"/>
    </row>
    <row r="116" spans="1:19" s="22" customFormat="1" ht="20.100000000000001" customHeight="1" x14ac:dyDescent="0.15">
      <c r="A116" s="15">
        <v>111</v>
      </c>
      <c r="B116" s="16" t="s">
        <v>61</v>
      </c>
      <c r="C116" s="16" t="s">
        <v>42</v>
      </c>
      <c r="D116" s="16" t="s">
        <v>192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>
        <v>250</v>
      </c>
      <c r="R116" s="16" t="s">
        <v>53</v>
      </c>
      <c r="S116" s="16"/>
    </row>
    <row r="117" spans="1:19" s="22" customFormat="1" ht="20.100000000000001" customHeight="1" x14ac:dyDescent="0.15">
      <c r="A117" s="19">
        <v>112</v>
      </c>
      <c r="B117" s="16" t="s">
        <v>61</v>
      </c>
      <c r="C117" s="16" t="s">
        <v>42</v>
      </c>
      <c r="D117" s="16" t="s">
        <v>193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>
        <v>250</v>
      </c>
      <c r="R117" s="16" t="s">
        <v>56</v>
      </c>
      <c r="S117" s="16"/>
    </row>
    <row r="118" spans="1:19" s="22" customFormat="1" ht="20.100000000000001" customHeight="1" x14ac:dyDescent="0.15">
      <c r="A118" s="15">
        <v>113</v>
      </c>
      <c r="B118" s="16" t="s">
        <v>61</v>
      </c>
      <c r="C118" s="16" t="s">
        <v>42</v>
      </c>
      <c r="D118" s="16" t="s">
        <v>194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>
        <v>250</v>
      </c>
      <c r="R118" s="16" t="s">
        <v>56</v>
      </c>
      <c r="S118" s="16"/>
    </row>
    <row r="119" spans="1:19" s="22" customFormat="1" ht="20.100000000000001" customHeight="1" x14ac:dyDescent="0.15">
      <c r="A119" s="19">
        <v>114</v>
      </c>
      <c r="B119" s="16" t="s">
        <v>61</v>
      </c>
      <c r="C119" s="16" t="s">
        <v>42</v>
      </c>
      <c r="D119" s="16" t="s">
        <v>195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>
        <v>250</v>
      </c>
      <c r="R119" s="16" t="s">
        <v>56</v>
      </c>
      <c r="S119" s="16"/>
    </row>
    <row r="120" spans="1:19" s="22" customFormat="1" ht="20.100000000000001" customHeight="1" x14ac:dyDescent="0.15">
      <c r="A120" s="15">
        <v>115</v>
      </c>
      <c r="B120" s="16" t="s">
        <v>61</v>
      </c>
      <c r="C120" s="16" t="s">
        <v>42</v>
      </c>
      <c r="D120" s="16" t="s">
        <v>196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>
        <v>250</v>
      </c>
      <c r="R120" s="16" t="s">
        <v>58</v>
      </c>
      <c r="S120" s="16"/>
    </row>
    <row r="121" spans="1:19" s="22" customFormat="1" ht="20.100000000000001" customHeight="1" x14ac:dyDescent="0.15">
      <c r="A121" s="19">
        <v>116</v>
      </c>
      <c r="B121" s="16" t="s">
        <v>61</v>
      </c>
      <c r="C121" s="16" t="s">
        <v>42</v>
      </c>
      <c r="D121" s="16" t="s">
        <v>197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>
        <v>250</v>
      </c>
      <c r="R121" s="16" t="s">
        <v>51</v>
      </c>
      <c r="S121" s="16"/>
    </row>
    <row r="122" spans="1:19" s="22" customFormat="1" ht="20.100000000000001" customHeight="1" x14ac:dyDescent="0.15">
      <c r="A122" s="15">
        <v>117</v>
      </c>
      <c r="B122" s="16" t="s">
        <v>61</v>
      </c>
      <c r="C122" s="16" t="s">
        <v>42</v>
      </c>
      <c r="D122" s="16" t="s">
        <v>198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>
        <v>250</v>
      </c>
      <c r="R122" s="16" t="s">
        <v>51</v>
      </c>
      <c r="S122" s="16"/>
    </row>
    <row r="123" spans="1:19" s="22" customFormat="1" ht="20.100000000000001" customHeight="1" x14ac:dyDescent="0.15">
      <c r="A123" s="19">
        <v>118</v>
      </c>
      <c r="B123" s="16" t="s">
        <v>61</v>
      </c>
      <c r="C123" s="16" t="s">
        <v>42</v>
      </c>
      <c r="D123" s="16" t="s">
        <v>199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>
        <v>250</v>
      </c>
      <c r="R123" s="16" t="s">
        <v>51</v>
      </c>
      <c r="S123" s="16"/>
    </row>
    <row r="124" spans="1:19" ht="20.100000000000001" customHeight="1" x14ac:dyDescent="0.15">
      <c r="A124" s="15">
        <v>119</v>
      </c>
      <c r="B124" s="16" t="s">
        <v>78</v>
      </c>
      <c r="C124" s="16" t="s">
        <v>42</v>
      </c>
      <c r="D124" s="16" t="s">
        <v>200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>
        <v>625</v>
      </c>
      <c r="R124" s="16" t="s">
        <v>46</v>
      </c>
      <c r="S124" s="16"/>
    </row>
    <row r="125" spans="1:19" ht="20.100000000000001" customHeight="1" x14ac:dyDescent="0.15">
      <c r="A125" s="19">
        <v>120</v>
      </c>
      <c r="B125" s="16" t="s">
        <v>78</v>
      </c>
      <c r="C125" s="16" t="s">
        <v>42</v>
      </c>
      <c r="D125" s="16" t="s">
        <v>201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>
        <v>625</v>
      </c>
      <c r="R125" s="16" t="s">
        <v>46</v>
      </c>
      <c r="S125" s="16"/>
    </row>
    <row r="126" spans="1:19" ht="20.100000000000001" customHeight="1" x14ac:dyDescent="0.15">
      <c r="A126" s="15">
        <v>121</v>
      </c>
      <c r="B126" s="16" t="s">
        <v>78</v>
      </c>
      <c r="C126" s="16" t="s">
        <v>42</v>
      </c>
      <c r="D126" s="16" t="s">
        <v>202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>
        <v>625</v>
      </c>
      <c r="R126" s="16" t="s">
        <v>46</v>
      </c>
      <c r="S126" s="16"/>
    </row>
    <row r="127" spans="1:19" ht="20.100000000000001" customHeight="1" x14ac:dyDescent="0.15">
      <c r="A127" s="19">
        <v>122</v>
      </c>
      <c r="B127" s="16" t="s">
        <v>78</v>
      </c>
      <c r="C127" s="16" t="s">
        <v>42</v>
      </c>
      <c r="D127" s="16" t="s">
        <v>203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>
        <v>625</v>
      </c>
      <c r="R127" s="16" t="s">
        <v>46</v>
      </c>
      <c r="S127" s="16"/>
    </row>
    <row r="128" spans="1:19" ht="20.100000000000001" customHeight="1" x14ac:dyDescent="0.15">
      <c r="A128" s="15">
        <v>123</v>
      </c>
      <c r="B128" s="16" t="s">
        <v>78</v>
      </c>
      <c r="C128" s="16" t="s">
        <v>42</v>
      </c>
      <c r="D128" s="16" t="s">
        <v>204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>
        <v>625</v>
      </c>
      <c r="R128" s="16" t="s">
        <v>46</v>
      </c>
      <c r="S128" s="16"/>
    </row>
    <row r="129" spans="1:19" ht="20.100000000000001" customHeight="1" x14ac:dyDescent="0.15">
      <c r="A129" s="19">
        <v>124</v>
      </c>
      <c r="B129" s="16" t="s">
        <v>78</v>
      </c>
      <c r="C129" s="16" t="s">
        <v>42</v>
      </c>
      <c r="D129" s="16" t="s">
        <v>205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>
        <v>625</v>
      </c>
      <c r="R129" s="16" t="s">
        <v>46</v>
      </c>
      <c r="S129" s="16"/>
    </row>
    <row r="130" spans="1:19" ht="20.100000000000001" customHeight="1" x14ac:dyDescent="0.15">
      <c r="A130" s="15">
        <v>125</v>
      </c>
      <c r="B130" s="16" t="s">
        <v>78</v>
      </c>
      <c r="C130" s="16" t="s">
        <v>42</v>
      </c>
      <c r="D130" s="16" t="s">
        <v>206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>
        <v>625</v>
      </c>
      <c r="R130" s="16" t="s">
        <v>46</v>
      </c>
      <c r="S130" s="16"/>
    </row>
    <row r="131" spans="1:19" ht="20.100000000000001" customHeight="1" x14ac:dyDescent="0.15">
      <c r="A131" s="19">
        <v>126</v>
      </c>
      <c r="B131" s="16" t="s">
        <v>78</v>
      </c>
      <c r="C131" s="16" t="s">
        <v>42</v>
      </c>
      <c r="D131" s="16" t="s">
        <v>207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>
        <v>625</v>
      </c>
      <c r="R131" s="16" t="s">
        <v>46</v>
      </c>
      <c r="S131" s="16"/>
    </row>
    <row r="132" spans="1:19" ht="20.100000000000001" customHeight="1" x14ac:dyDescent="0.15">
      <c r="A132" s="15">
        <v>127</v>
      </c>
      <c r="B132" s="16" t="s">
        <v>78</v>
      </c>
      <c r="C132" s="16" t="s">
        <v>42</v>
      </c>
      <c r="D132" s="16" t="s">
        <v>208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>
        <v>625</v>
      </c>
      <c r="R132" s="16" t="s">
        <v>46</v>
      </c>
      <c r="S132" s="16"/>
    </row>
    <row r="133" spans="1:19" ht="20.100000000000001" customHeight="1" x14ac:dyDescent="0.15">
      <c r="A133" s="19">
        <v>128</v>
      </c>
      <c r="B133" s="16" t="s">
        <v>78</v>
      </c>
      <c r="C133" s="16" t="s">
        <v>42</v>
      </c>
      <c r="D133" s="16" t="s">
        <v>209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>
        <v>625</v>
      </c>
      <c r="R133" s="16" t="s">
        <v>46</v>
      </c>
      <c r="S133" s="16"/>
    </row>
    <row r="134" spans="1:19" ht="20.100000000000001" customHeight="1" x14ac:dyDescent="0.15">
      <c r="A134" s="15">
        <v>129</v>
      </c>
      <c r="B134" s="16" t="s">
        <v>78</v>
      </c>
      <c r="C134" s="16" t="s">
        <v>42</v>
      </c>
      <c r="D134" s="16" t="s">
        <v>210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>
        <v>625</v>
      </c>
      <c r="R134" s="16" t="s">
        <v>46</v>
      </c>
      <c r="S134" s="16"/>
    </row>
    <row r="135" spans="1:19" ht="20.100000000000001" customHeight="1" x14ac:dyDescent="0.15">
      <c r="A135" s="19">
        <v>130</v>
      </c>
      <c r="B135" s="16" t="s">
        <v>78</v>
      </c>
      <c r="C135" s="16" t="s">
        <v>42</v>
      </c>
      <c r="D135" s="16" t="s">
        <v>211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>
        <v>625</v>
      </c>
      <c r="R135" s="16" t="s">
        <v>46</v>
      </c>
      <c r="S135" s="16"/>
    </row>
    <row r="136" spans="1:19" ht="20.100000000000001" customHeight="1" x14ac:dyDescent="0.15">
      <c r="A136" s="15">
        <v>131</v>
      </c>
      <c r="B136" s="16" t="s">
        <v>78</v>
      </c>
      <c r="C136" s="16" t="s">
        <v>42</v>
      </c>
      <c r="D136" s="16" t="s">
        <v>212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>
        <v>625</v>
      </c>
      <c r="R136" s="16" t="s">
        <v>46</v>
      </c>
      <c r="S136" s="16"/>
    </row>
    <row r="137" spans="1:19" ht="20.100000000000001" customHeight="1" x14ac:dyDescent="0.15">
      <c r="A137" s="19">
        <v>132</v>
      </c>
      <c r="B137" s="16" t="s">
        <v>78</v>
      </c>
      <c r="C137" s="16" t="s">
        <v>42</v>
      </c>
      <c r="D137" s="16" t="s">
        <v>213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>
        <v>625</v>
      </c>
      <c r="R137" s="16" t="s">
        <v>46</v>
      </c>
      <c r="S137" s="16"/>
    </row>
    <row r="138" spans="1:19" ht="20.100000000000001" customHeight="1" x14ac:dyDescent="0.15">
      <c r="A138" s="15">
        <v>133</v>
      </c>
      <c r="B138" s="16" t="s">
        <v>78</v>
      </c>
      <c r="C138" s="16" t="s">
        <v>42</v>
      </c>
      <c r="D138" s="16" t="s">
        <v>214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>
        <v>625</v>
      </c>
      <c r="R138" s="16" t="s">
        <v>46</v>
      </c>
      <c r="S138" s="16"/>
    </row>
    <row r="139" spans="1:19" ht="20.100000000000001" customHeight="1" x14ac:dyDescent="0.15">
      <c r="A139" s="19">
        <v>134</v>
      </c>
      <c r="B139" s="16" t="s">
        <v>78</v>
      </c>
      <c r="C139" s="16" t="s">
        <v>42</v>
      </c>
      <c r="D139" s="16" t="s">
        <v>215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>
        <v>625</v>
      </c>
      <c r="R139" s="16" t="s">
        <v>58</v>
      </c>
      <c r="S139" s="16"/>
    </row>
    <row r="140" spans="1:19" ht="20.100000000000001" customHeight="1" x14ac:dyDescent="0.15">
      <c r="A140" s="15">
        <v>135</v>
      </c>
      <c r="B140" s="16" t="s">
        <v>78</v>
      </c>
      <c r="C140" s="16" t="s">
        <v>42</v>
      </c>
      <c r="D140" s="16" t="s">
        <v>216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>
        <v>625</v>
      </c>
      <c r="R140" s="16" t="s">
        <v>58</v>
      </c>
      <c r="S140" s="16"/>
    </row>
    <row r="141" spans="1:19" ht="20.100000000000001" customHeight="1" x14ac:dyDescent="0.15">
      <c r="A141" s="19">
        <v>136</v>
      </c>
      <c r="B141" s="16" t="s">
        <v>78</v>
      </c>
      <c r="C141" s="16" t="s">
        <v>42</v>
      </c>
      <c r="D141" s="16" t="s">
        <v>217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>
        <v>625</v>
      </c>
      <c r="R141" s="16" t="s">
        <v>58</v>
      </c>
      <c r="S141" s="16"/>
    </row>
    <row r="142" spans="1:19" ht="20.100000000000001" customHeight="1" x14ac:dyDescent="0.15">
      <c r="A142" s="15">
        <v>137</v>
      </c>
      <c r="B142" s="16" t="s">
        <v>78</v>
      </c>
      <c r="C142" s="16" t="s">
        <v>42</v>
      </c>
      <c r="D142" s="16" t="s">
        <v>218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>
        <v>625</v>
      </c>
      <c r="R142" s="16" t="s">
        <v>58</v>
      </c>
      <c r="S142" s="16"/>
    </row>
    <row r="143" spans="1:19" ht="20.100000000000001" customHeight="1" x14ac:dyDescent="0.15">
      <c r="A143" s="19">
        <v>138</v>
      </c>
      <c r="B143" s="16" t="s">
        <v>78</v>
      </c>
      <c r="C143" s="16" t="s">
        <v>42</v>
      </c>
      <c r="D143" s="16" t="s">
        <v>219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>
        <v>625</v>
      </c>
      <c r="R143" s="16" t="s">
        <v>58</v>
      </c>
      <c r="S143" s="16"/>
    </row>
    <row r="144" spans="1:19" ht="20.100000000000001" customHeight="1" x14ac:dyDescent="0.15">
      <c r="A144" s="15">
        <v>139</v>
      </c>
      <c r="B144" s="16" t="s">
        <v>78</v>
      </c>
      <c r="C144" s="16" t="s">
        <v>42</v>
      </c>
      <c r="D144" s="16" t="s">
        <v>220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>
        <v>625</v>
      </c>
      <c r="R144" s="16" t="s">
        <v>53</v>
      </c>
      <c r="S144" s="16"/>
    </row>
    <row r="145" spans="1:19" ht="20.100000000000001" customHeight="1" x14ac:dyDescent="0.15">
      <c r="A145" s="19">
        <v>140</v>
      </c>
      <c r="B145" s="16" t="s">
        <v>78</v>
      </c>
      <c r="C145" s="16" t="s">
        <v>42</v>
      </c>
      <c r="D145" s="16" t="s">
        <v>221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>
        <v>625</v>
      </c>
      <c r="R145" s="16" t="s">
        <v>53</v>
      </c>
      <c r="S145" s="16"/>
    </row>
    <row r="146" spans="1:19" ht="20.100000000000001" customHeight="1" x14ac:dyDescent="0.15">
      <c r="A146" s="15">
        <v>141</v>
      </c>
      <c r="B146" s="16" t="s">
        <v>78</v>
      </c>
      <c r="C146" s="16" t="s">
        <v>42</v>
      </c>
      <c r="D146" s="16" t="s">
        <v>222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>
        <v>625</v>
      </c>
      <c r="R146" s="16" t="s">
        <v>58</v>
      </c>
      <c r="S146" s="16"/>
    </row>
    <row r="147" spans="1:19" ht="20.100000000000001" customHeight="1" x14ac:dyDescent="0.15">
      <c r="A147" s="19">
        <v>142</v>
      </c>
      <c r="B147" s="16" t="s">
        <v>78</v>
      </c>
      <c r="C147" s="16" t="s">
        <v>42</v>
      </c>
      <c r="D147" s="16" t="s">
        <v>223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>
        <v>625</v>
      </c>
      <c r="R147" s="16" t="s">
        <v>58</v>
      </c>
      <c r="S147" s="16"/>
    </row>
    <row r="148" spans="1:19" ht="20.100000000000001" customHeight="1" x14ac:dyDescent="0.15">
      <c r="A148" s="15">
        <v>143</v>
      </c>
      <c r="B148" s="16" t="s">
        <v>78</v>
      </c>
      <c r="C148" s="16" t="s">
        <v>42</v>
      </c>
      <c r="D148" s="16" t="s">
        <v>224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>
        <v>625</v>
      </c>
      <c r="R148" s="16" t="s">
        <v>58</v>
      </c>
      <c r="S148" s="16"/>
    </row>
    <row r="149" spans="1:19" ht="20.100000000000001" customHeight="1" x14ac:dyDescent="0.15">
      <c r="A149" s="19">
        <v>144</v>
      </c>
      <c r="B149" s="16" t="s">
        <v>78</v>
      </c>
      <c r="C149" s="16" t="s">
        <v>42</v>
      </c>
      <c r="D149" s="16" t="s">
        <v>225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>
        <v>625</v>
      </c>
      <c r="R149" s="16" t="s">
        <v>58</v>
      </c>
      <c r="S149" s="16"/>
    </row>
    <row r="150" spans="1:19" ht="20.100000000000001" customHeight="1" x14ac:dyDescent="0.15">
      <c r="A150" s="15">
        <v>145</v>
      </c>
      <c r="B150" s="16" t="s">
        <v>78</v>
      </c>
      <c r="C150" s="16" t="s">
        <v>42</v>
      </c>
      <c r="D150" s="16" t="s">
        <v>226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>
        <v>625</v>
      </c>
      <c r="R150" s="16" t="s">
        <v>58</v>
      </c>
      <c r="S150" s="16"/>
    </row>
    <row r="151" spans="1:19" ht="20.100000000000001" customHeight="1" x14ac:dyDescent="0.15">
      <c r="A151" s="19">
        <v>146</v>
      </c>
      <c r="B151" s="16" t="s">
        <v>78</v>
      </c>
      <c r="C151" s="16" t="s">
        <v>42</v>
      </c>
      <c r="D151" s="16" t="s">
        <v>227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>
        <v>625</v>
      </c>
      <c r="R151" s="16" t="s">
        <v>58</v>
      </c>
      <c r="S151" s="16"/>
    </row>
    <row r="152" spans="1:19" ht="20.100000000000001" customHeight="1" x14ac:dyDescent="0.15">
      <c r="A152" s="15">
        <v>147</v>
      </c>
      <c r="B152" s="16" t="s">
        <v>78</v>
      </c>
      <c r="C152" s="16" t="s">
        <v>42</v>
      </c>
      <c r="D152" s="16" t="s">
        <v>228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>
        <v>625</v>
      </c>
      <c r="R152" s="16" t="s">
        <v>58</v>
      </c>
      <c r="S152" s="16"/>
    </row>
    <row r="153" spans="1:19" ht="20.100000000000001" customHeight="1" x14ac:dyDescent="0.15">
      <c r="A153" s="19">
        <v>148</v>
      </c>
      <c r="B153" s="16" t="s">
        <v>78</v>
      </c>
      <c r="C153" s="16" t="s">
        <v>42</v>
      </c>
      <c r="D153" s="16" t="s">
        <v>229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>
        <v>625</v>
      </c>
      <c r="R153" s="16" t="s">
        <v>53</v>
      </c>
      <c r="S153" s="16"/>
    </row>
    <row r="154" spans="1:19" ht="20.100000000000001" customHeight="1" x14ac:dyDescent="0.15">
      <c r="A154" s="15">
        <v>149</v>
      </c>
      <c r="B154" s="16" t="s">
        <v>78</v>
      </c>
      <c r="C154" s="16" t="s">
        <v>42</v>
      </c>
      <c r="D154" s="16" t="s">
        <v>230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>
        <v>625</v>
      </c>
      <c r="R154" s="16" t="s">
        <v>58</v>
      </c>
      <c r="S154" s="16"/>
    </row>
    <row r="155" spans="1:19" ht="20.100000000000001" customHeight="1" x14ac:dyDescent="0.15">
      <c r="A155" s="19">
        <v>150</v>
      </c>
      <c r="B155" s="16" t="s">
        <v>78</v>
      </c>
      <c r="C155" s="16" t="s">
        <v>42</v>
      </c>
      <c r="D155" s="16" t="s">
        <v>231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>
        <v>625</v>
      </c>
      <c r="R155" s="16" t="s">
        <v>53</v>
      </c>
      <c r="S155" s="16"/>
    </row>
    <row r="156" spans="1:19" ht="20.100000000000001" customHeight="1" x14ac:dyDescent="0.15">
      <c r="A156" s="15">
        <v>151</v>
      </c>
      <c r="B156" s="16" t="s">
        <v>78</v>
      </c>
      <c r="C156" s="16" t="s">
        <v>42</v>
      </c>
      <c r="D156" s="16" t="s">
        <v>232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>
        <v>625</v>
      </c>
      <c r="R156" s="16" t="s">
        <v>53</v>
      </c>
      <c r="S156" s="16"/>
    </row>
    <row r="157" spans="1:19" ht="20.100000000000001" customHeight="1" x14ac:dyDescent="0.15">
      <c r="A157" s="19">
        <v>152</v>
      </c>
      <c r="B157" s="16" t="s">
        <v>78</v>
      </c>
      <c r="C157" s="16" t="s">
        <v>42</v>
      </c>
      <c r="D157" s="16" t="s">
        <v>233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>
        <v>625</v>
      </c>
      <c r="R157" s="16" t="s">
        <v>44</v>
      </c>
      <c r="S157" s="16"/>
    </row>
    <row r="158" spans="1:19" ht="20.100000000000001" customHeight="1" x14ac:dyDescent="0.15">
      <c r="A158" s="15">
        <v>153</v>
      </c>
      <c r="B158" s="16" t="s">
        <v>78</v>
      </c>
      <c r="C158" s="16" t="s">
        <v>42</v>
      </c>
      <c r="D158" s="16" t="s">
        <v>234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>
        <v>625</v>
      </c>
      <c r="R158" s="16" t="s">
        <v>53</v>
      </c>
      <c r="S158" s="16"/>
    </row>
    <row r="159" spans="1:19" ht="20.100000000000001" customHeight="1" x14ac:dyDescent="0.15">
      <c r="A159" s="19">
        <v>154</v>
      </c>
      <c r="B159" s="16" t="s">
        <v>78</v>
      </c>
      <c r="C159" s="16" t="s">
        <v>42</v>
      </c>
      <c r="D159" s="16" t="s">
        <v>235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>
        <v>625</v>
      </c>
      <c r="R159" s="16" t="s">
        <v>44</v>
      </c>
      <c r="S159" s="16"/>
    </row>
    <row r="160" spans="1:19" ht="20.100000000000001" customHeight="1" x14ac:dyDescent="0.15">
      <c r="A160" s="15">
        <v>155</v>
      </c>
      <c r="B160" s="16" t="s">
        <v>78</v>
      </c>
      <c r="C160" s="16" t="s">
        <v>42</v>
      </c>
      <c r="D160" s="16" t="s">
        <v>236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>
        <v>625</v>
      </c>
      <c r="R160" s="16" t="s">
        <v>53</v>
      </c>
      <c r="S160" s="16"/>
    </row>
    <row r="161" spans="1:19" ht="20.100000000000001" customHeight="1" x14ac:dyDescent="0.15">
      <c r="A161" s="19">
        <v>156</v>
      </c>
      <c r="B161" s="16" t="s">
        <v>78</v>
      </c>
      <c r="C161" s="16" t="s">
        <v>42</v>
      </c>
      <c r="D161" s="16" t="s">
        <v>237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>
        <v>625</v>
      </c>
      <c r="R161" s="16" t="s">
        <v>58</v>
      </c>
      <c r="S161" s="16"/>
    </row>
    <row r="162" spans="1:19" ht="20.100000000000001" customHeight="1" x14ac:dyDescent="0.15">
      <c r="A162" s="15">
        <v>157</v>
      </c>
      <c r="B162" s="16" t="s">
        <v>78</v>
      </c>
      <c r="C162" s="16" t="s">
        <v>42</v>
      </c>
      <c r="D162" s="16" t="s">
        <v>238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>
        <v>625</v>
      </c>
      <c r="R162" s="16" t="s">
        <v>53</v>
      </c>
      <c r="S162" s="16"/>
    </row>
    <row r="163" spans="1:19" ht="20.100000000000001" customHeight="1" x14ac:dyDescent="0.15">
      <c r="A163" s="19">
        <v>158</v>
      </c>
      <c r="B163" s="16" t="s">
        <v>78</v>
      </c>
      <c r="C163" s="16" t="s">
        <v>42</v>
      </c>
      <c r="D163" s="16" t="s">
        <v>239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>
        <v>625</v>
      </c>
      <c r="R163" s="16" t="s">
        <v>53</v>
      </c>
      <c r="S163" s="16"/>
    </row>
    <row r="164" spans="1:19" ht="20.100000000000001" customHeight="1" x14ac:dyDescent="0.15">
      <c r="A164" s="15">
        <v>159</v>
      </c>
      <c r="B164" s="16" t="s">
        <v>78</v>
      </c>
      <c r="C164" s="16" t="s">
        <v>42</v>
      </c>
      <c r="D164" s="16" t="s">
        <v>240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>
        <v>625</v>
      </c>
      <c r="R164" s="16" t="s">
        <v>58</v>
      </c>
      <c r="S164" s="16"/>
    </row>
    <row r="165" spans="1:19" ht="20.100000000000001" customHeight="1" x14ac:dyDescent="0.15">
      <c r="A165" s="19">
        <v>160</v>
      </c>
      <c r="B165" s="16" t="s">
        <v>78</v>
      </c>
      <c r="C165" s="16" t="s">
        <v>42</v>
      </c>
      <c r="D165" s="16" t="s">
        <v>241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>
        <v>625</v>
      </c>
      <c r="R165" s="16" t="s">
        <v>58</v>
      </c>
      <c r="S165" s="16"/>
    </row>
    <row r="166" spans="1:19" ht="20.100000000000001" customHeight="1" x14ac:dyDescent="0.15">
      <c r="A166" s="15">
        <v>161</v>
      </c>
      <c r="B166" s="16" t="s">
        <v>78</v>
      </c>
      <c r="C166" s="16" t="s">
        <v>42</v>
      </c>
      <c r="D166" s="16" t="s">
        <v>242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>
        <v>625</v>
      </c>
      <c r="R166" s="16" t="s">
        <v>58</v>
      </c>
      <c r="S166" s="16"/>
    </row>
    <row r="167" spans="1:19" ht="20.100000000000001" customHeight="1" x14ac:dyDescent="0.15">
      <c r="A167" s="19">
        <v>162</v>
      </c>
      <c r="B167" s="16" t="s">
        <v>78</v>
      </c>
      <c r="C167" s="16" t="s">
        <v>42</v>
      </c>
      <c r="D167" s="16" t="s">
        <v>243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>
        <v>625</v>
      </c>
      <c r="R167" s="16" t="s">
        <v>58</v>
      </c>
      <c r="S167" s="16"/>
    </row>
    <row r="168" spans="1:19" ht="20.100000000000001" customHeight="1" x14ac:dyDescent="0.15">
      <c r="A168" s="15">
        <v>163</v>
      </c>
      <c r="B168" s="16" t="s">
        <v>78</v>
      </c>
      <c r="C168" s="16" t="s">
        <v>42</v>
      </c>
      <c r="D168" s="16" t="s">
        <v>244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>
        <v>625</v>
      </c>
      <c r="R168" s="16" t="s">
        <v>58</v>
      </c>
      <c r="S168" s="16"/>
    </row>
    <row r="169" spans="1:19" ht="20.100000000000001" customHeight="1" x14ac:dyDescent="0.15">
      <c r="A169" s="19">
        <v>164</v>
      </c>
      <c r="B169" s="16" t="s">
        <v>78</v>
      </c>
      <c r="C169" s="16" t="s">
        <v>42</v>
      </c>
      <c r="D169" s="16" t="s">
        <v>245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>
        <v>625</v>
      </c>
      <c r="R169" s="16" t="s">
        <v>59</v>
      </c>
      <c r="S169" s="16" t="s">
        <v>260</v>
      </c>
    </row>
    <row r="170" spans="1:19" ht="20.100000000000001" customHeight="1" x14ac:dyDescent="0.15">
      <c r="A170" s="15">
        <v>165</v>
      </c>
      <c r="B170" s="16" t="s">
        <v>78</v>
      </c>
      <c r="C170" s="16" t="s">
        <v>42</v>
      </c>
      <c r="D170" s="16" t="s">
        <v>246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>
        <v>625</v>
      </c>
      <c r="R170" s="16" t="s">
        <v>58</v>
      </c>
      <c r="S170" s="16"/>
    </row>
    <row r="171" spans="1:19" ht="20.100000000000001" customHeight="1" x14ac:dyDescent="0.15">
      <c r="A171" s="19">
        <v>166</v>
      </c>
      <c r="B171" s="16" t="s">
        <v>78</v>
      </c>
      <c r="C171" s="16" t="s">
        <v>42</v>
      </c>
      <c r="D171" s="16" t="s">
        <v>247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>
        <v>625</v>
      </c>
      <c r="R171" s="16" t="s">
        <v>59</v>
      </c>
      <c r="S171" s="16" t="s">
        <v>261</v>
      </c>
    </row>
    <row r="172" spans="1:19" ht="20.100000000000001" customHeight="1" x14ac:dyDescent="0.15">
      <c r="A172" s="15">
        <v>167</v>
      </c>
      <c r="B172" s="16" t="s">
        <v>78</v>
      </c>
      <c r="C172" s="16" t="s">
        <v>42</v>
      </c>
      <c r="D172" s="16" t="s">
        <v>248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>
        <v>625</v>
      </c>
      <c r="R172" s="16" t="s">
        <v>58</v>
      </c>
      <c r="S172" s="16"/>
    </row>
    <row r="173" spans="1:19" ht="20.100000000000001" customHeight="1" x14ac:dyDescent="0.15">
      <c r="A173" s="19">
        <v>168</v>
      </c>
      <c r="B173" s="16" t="s">
        <v>78</v>
      </c>
      <c r="C173" s="16" t="s">
        <v>42</v>
      </c>
      <c r="D173" s="16" t="s">
        <v>249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>
        <v>625</v>
      </c>
      <c r="R173" s="16" t="s">
        <v>360</v>
      </c>
      <c r="S173" s="16"/>
    </row>
    <row r="174" spans="1:19" ht="20.100000000000001" customHeight="1" x14ac:dyDescent="0.15">
      <c r="A174" s="15">
        <v>169</v>
      </c>
      <c r="B174" s="16" t="s">
        <v>78</v>
      </c>
      <c r="C174" s="16" t="s">
        <v>42</v>
      </c>
      <c r="D174" s="16" t="s">
        <v>250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>
        <v>625</v>
      </c>
      <c r="R174" s="16" t="s">
        <v>58</v>
      </c>
      <c r="S174" s="16"/>
    </row>
    <row r="175" spans="1:19" ht="20.100000000000001" customHeight="1" x14ac:dyDescent="0.15">
      <c r="A175" s="19">
        <v>170</v>
      </c>
      <c r="B175" s="16" t="s">
        <v>78</v>
      </c>
      <c r="C175" s="16" t="s">
        <v>42</v>
      </c>
      <c r="D175" s="16" t="s">
        <v>251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>
        <v>625</v>
      </c>
      <c r="R175" s="16" t="s">
        <v>59</v>
      </c>
      <c r="S175" s="16" t="s">
        <v>260</v>
      </c>
    </row>
    <row r="176" spans="1:19" ht="20.100000000000001" customHeight="1" x14ac:dyDescent="0.15">
      <c r="A176" s="15">
        <v>171</v>
      </c>
      <c r="B176" s="16" t="s">
        <v>78</v>
      </c>
      <c r="C176" s="16" t="s">
        <v>42</v>
      </c>
      <c r="D176" s="16" t="s">
        <v>252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>
        <v>625</v>
      </c>
      <c r="R176" s="16" t="s">
        <v>58</v>
      </c>
      <c r="S176" s="16"/>
    </row>
    <row r="177" spans="1:19" ht="20.100000000000001" customHeight="1" x14ac:dyDescent="0.15">
      <c r="A177" s="19">
        <v>172</v>
      </c>
      <c r="B177" s="16" t="s">
        <v>78</v>
      </c>
      <c r="C177" s="16" t="s">
        <v>42</v>
      </c>
      <c r="D177" s="16" t="s">
        <v>253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>
        <v>312.5</v>
      </c>
      <c r="R177" s="16" t="s">
        <v>44</v>
      </c>
      <c r="S177" s="16"/>
    </row>
    <row r="178" spans="1:19" ht="20.100000000000001" customHeight="1" x14ac:dyDescent="0.15">
      <c r="A178" s="15">
        <v>173</v>
      </c>
      <c r="B178" s="16" t="s">
        <v>78</v>
      </c>
      <c r="C178" s="16" t="s">
        <v>42</v>
      </c>
      <c r="D178" s="16" t="s">
        <v>254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>
        <v>312.5</v>
      </c>
      <c r="R178" s="16" t="s">
        <v>44</v>
      </c>
      <c r="S178" s="16"/>
    </row>
    <row r="179" spans="1:19" ht="20.100000000000001" customHeight="1" x14ac:dyDescent="0.15">
      <c r="A179" s="19">
        <v>174</v>
      </c>
      <c r="B179" s="16" t="s">
        <v>78</v>
      </c>
      <c r="C179" s="16" t="s">
        <v>42</v>
      </c>
      <c r="D179" s="16" t="s">
        <v>255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>
        <v>312.5</v>
      </c>
      <c r="R179" s="16" t="s">
        <v>44</v>
      </c>
      <c r="S179" s="16"/>
    </row>
    <row r="180" spans="1:19" ht="20.100000000000001" customHeight="1" x14ac:dyDescent="0.15">
      <c r="A180" s="15">
        <v>175</v>
      </c>
      <c r="B180" s="16" t="s">
        <v>78</v>
      </c>
      <c r="C180" s="16" t="s">
        <v>42</v>
      </c>
      <c r="D180" s="16" t="s">
        <v>256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>
        <v>312.5</v>
      </c>
      <c r="R180" s="16" t="s">
        <v>44</v>
      </c>
      <c r="S180" s="16"/>
    </row>
    <row r="181" spans="1:19" ht="20.100000000000001" customHeight="1" x14ac:dyDescent="0.15">
      <c r="A181" s="19">
        <v>176</v>
      </c>
      <c r="B181" s="16" t="s">
        <v>78</v>
      </c>
      <c r="C181" s="16" t="s">
        <v>42</v>
      </c>
      <c r="D181" s="16" t="s">
        <v>257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>
        <v>312.5</v>
      </c>
      <c r="R181" s="16" t="s">
        <v>44</v>
      </c>
      <c r="S181" s="16"/>
    </row>
    <row r="182" spans="1:19" ht="20.100000000000001" customHeight="1" x14ac:dyDescent="0.15">
      <c r="A182" s="15">
        <v>177</v>
      </c>
      <c r="B182" s="16" t="s">
        <v>78</v>
      </c>
      <c r="C182" s="16" t="s">
        <v>42</v>
      </c>
      <c r="D182" s="16" t="s">
        <v>258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>
        <v>312.5</v>
      </c>
      <c r="R182" s="16" t="s">
        <v>44</v>
      </c>
      <c r="S182" s="16"/>
    </row>
    <row r="183" spans="1:19" ht="20.100000000000001" customHeight="1" x14ac:dyDescent="0.15">
      <c r="A183" s="19">
        <v>178</v>
      </c>
      <c r="B183" s="16" t="s">
        <v>78</v>
      </c>
      <c r="C183" s="16" t="s">
        <v>42</v>
      </c>
      <c r="D183" s="16" t="s">
        <v>259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>
        <v>312.5</v>
      </c>
      <c r="R183" s="16" t="s">
        <v>44</v>
      </c>
      <c r="S183" s="16"/>
    </row>
    <row r="184" spans="1:19" ht="20.100000000000001" customHeight="1" x14ac:dyDescent="0.15">
      <c r="A184" s="16">
        <v>179</v>
      </c>
      <c r="B184" s="16" t="s">
        <v>63</v>
      </c>
      <c r="C184" s="16" t="s">
        <v>42</v>
      </c>
      <c r="D184" s="16" t="s">
        <v>262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>
        <v>250</v>
      </c>
      <c r="R184" s="16" t="s">
        <v>46</v>
      </c>
      <c r="S184" s="16"/>
    </row>
    <row r="185" spans="1:19" ht="20.100000000000001" customHeight="1" x14ac:dyDescent="0.15">
      <c r="A185" s="16">
        <v>180</v>
      </c>
      <c r="B185" s="16" t="s">
        <v>63</v>
      </c>
      <c r="C185" s="16" t="s">
        <v>42</v>
      </c>
      <c r="D185" s="16" t="s">
        <v>263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>
        <v>250</v>
      </c>
      <c r="R185" s="16" t="s">
        <v>46</v>
      </c>
      <c r="S185" s="16"/>
    </row>
    <row r="186" spans="1:19" ht="20.100000000000001" customHeight="1" x14ac:dyDescent="0.15">
      <c r="A186" s="16">
        <v>181</v>
      </c>
      <c r="B186" s="16" t="s">
        <v>63</v>
      </c>
      <c r="C186" s="16" t="s">
        <v>42</v>
      </c>
      <c r="D186" s="16" t="s">
        <v>264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>
        <v>250</v>
      </c>
      <c r="R186" s="16" t="s">
        <v>46</v>
      </c>
      <c r="S186" s="16"/>
    </row>
    <row r="187" spans="1:19" ht="20.100000000000001" customHeight="1" x14ac:dyDescent="0.15">
      <c r="A187" s="16">
        <v>182</v>
      </c>
      <c r="B187" s="16" t="s">
        <v>63</v>
      </c>
      <c r="C187" s="16" t="s">
        <v>42</v>
      </c>
      <c r="D187" s="16" t="s">
        <v>265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>
        <v>250</v>
      </c>
      <c r="R187" s="16" t="s">
        <v>46</v>
      </c>
      <c r="S187" s="16"/>
    </row>
    <row r="188" spans="1:19" ht="20.100000000000001" customHeight="1" x14ac:dyDescent="0.15">
      <c r="A188" s="16">
        <v>183</v>
      </c>
      <c r="B188" s="16" t="s">
        <v>63</v>
      </c>
      <c r="C188" s="16" t="s">
        <v>42</v>
      </c>
      <c r="D188" s="16" t="s">
        <v>266</v>
      </c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>
        <v>250</v>
      </c>
      <c r="R188" s="16" t="s">
        <v>46</v>
      </c>
      <c r="S188" s="16"/>
    </row>
    <row r="189" spans="1:19" ht="20.100000000000001" customHeight="1" x14ac:dyDescent="0.15">
      <c r="A189" s="16">
        <v>184</v>
      </c>
      <c r="B189" s="16" t="s">
        <v>63</v>
      </c>
      <c r="C189" s="16" t="s">
        <v>42</v>
      </c>
      <c r="D189" s="16" t="s">
        <v>267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>
        <v>250</v>
      </c>
      <c r="R189" s="16" t="s">
        <v>46</v>
      </c>
      <c r="S189" s="16"/>
    </row>
    <row r="190" spans="1:19" ht="20.100000000000001" customHeight="1" x14ac:dyDescent="0.15">
      <c r="A190" s="16">
        <v>185</v>
      </c>
      <c r="B190" s="16" t="s">
        <v>63</v>
      </c>
      <c r="C190" s="16" t="s">
        <v>42</v>
      </c>
      <c r="D190" s="16" t="s">
        <v>268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>
        <v>250</v>
      </c>
      <c r="R190" s="16" t="s">
        <v>46</v>
      </c>
      <c r="S190" s="16"/>
    </row>
    <row r="191" spans="1:19" ht="20.100000000000001" customHeight="1" x14ac:dyDescent="0.15">
      <c r="A191" s="16">
        <v>186</v>
      </c>
      <c r="B191" s="16" t="s">
        <v>63</v>
      </c>
      <c r="C191" s="16" t="s">
        <v>42</v>
      </c>
      <c r="D191" s="16" t="s">
        <v>269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>
        <v>250</v>
      </c>
      <c r="R191" s="16" t="s">
        <v>46</v>
      </c>
      <c r="S191" s="16"/>
    </row>
    <row r="192" spans="1:19" ht="20.100000000000001" customHeight="1" x14ac:dyDescent="0.15">
      <c r="A192" s="16">
        <v>187</v>
      </c>
      <c r="B192" s="16" t="s">
        <v>63</v>
      </c>
      <c r="C192" s="16" t="s">
        <v>42</v>
      </c>
      <c r="D192" s="16" t="s">
        <v>270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>
        <v>250</v>
      </c>
      <c r="R192" s="16" t="s">
        <v>46</v>
      </c>
      <c r="S192" s="16"/>
    </row>
    <row r="193" spans="1:19" ht="20.100000000000001" customHeight="1" x14ac:dyDescent="0.15">
      <c r="A193" s="16">
        <v>188</v>
      </c>
      <c r="B193" s="16" t="s">
        <v>63</v>
      </c>
      <c r="C193" s="16" t="s">
        <v>42</v>
      </c>
      <c r="D193" s="16" t="s">
        <v>271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>
        <v>250</v>
      </c>
      <c r="R193" s="16" t="s">
        <v>46</v>
      </c>
      <c r="S193" s="16"/>
    </row>
    <row r="194" spans="1:19" ht="20.100000000000001" customHeight="1" x14ac:dyDescent="0.15">
      <c r="A194" s="16">
        <v>189</v>
      </c>
      <c r="B194" s="16" t="s">
        <v>63</v>
      </c>
      <c r="C194" s="16" t="s">
        <v>42</v>
      </c>
      <c r="D194" s="16" t="s">
        <v>272</v>
      </c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>
        <v>250</v>
      </c>
      <c r="R194" s="16" t="s">
        <v>46</v>
      </c>
      <c r="S194" s="16"/>
    </row>
    <row r="195" spans="1:19" ht="20.100000000000001" customHeight="1" x14ac:dyDescent="0.15">
      <c r="A195" s="16">
        <v>190</v>
      </c>
      <c r="B195" s="16" t="s">
        <v>63</v>
      </c>
      <c r="C195" s="16" t="s">
        <v>42</v>
      </c>
      <c r="D195" s="16" t="s">
        <v>273</v>
      </c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>
        <v>250</v>
      </c>
      <c r="R195" s="16" t="s">
        <v>44</v>
      </c>
      <c r="S195" s="16"/>
    </row>
    <row r="196" spans="1:19" ht="20.100000000000001" customHeight="1" x14ac:dyDescent="0.15">
      <c r="A196" s="16">
        <v>191</v>
      </c>
      <c r="B196" s="16" t="s">
        <v>63</v>
      </c>
      <c r="C196" s="16" t="s">
        <v>42</v>
      </c>
      <c r="D196" s="16" t="s">
        <v>274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>
        <v>250</v>
      </c>
      <c r="R196" s="16" t="s">
        <v>44</v>
      </c>
      <c r="S196" s="16"/>
    </row>
    <row r="197" spans="1:19" ht="20.100000000000001" customHeight="1" x14ac:dyDescent="0.15">
      <c r="A197" s="16">
        <v>192</v>
      </c>
      <c r="B197" s="16" t="s">
        <v>63</v>
      </c>
      <c r="C197" s="16" t="s">
        <v>42</v>
      </c>
      <c r="D197" s="16" t="s">
        <v>275</v>
      </c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>
        <v>250</v>
      </c>
      <c r="R197" s="16" t="s">
        <v>44</v>
      </c>
      <c r="S197" s="16"/>
    </row>
    <row r="198" spans="1:19" ht="20.100000000000001" customHeight="1" x14ac:dyDescent="0.15">
      <c r="A198" s="16">
        <v>193</v>
      </c>
      <c r="B198" s="16" t="s">
        <v>63</v>
      </c>
      <c r="C198" s="16" t="s">
        <v>42</v>
      </c>
      <c r="D198" s="16" t="s">
        <v>276</v>
      </c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>
        <v>250</v>
      </c>
      <c r="R198" s="16" t="s">
        <v>53</v>
      </c>
      <c r="S198" s="16"/>
    </row>
    <row r="199" spans="1:19" ht="20.100000000000001" customHeight="1" x14ac:dyDescent="0.15">
      <c r="A199" s="16">
        <v>194</v>
      </c>
      <c r="B199" s="16" t="s">
        <v>63</v>
      </c>
      <c r="C199" s="16" t="s">
        <v>42</v>
      </c>
      <c r="D199" s="16" t="s">
        <v>277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>
        <v>250</v>
      </c>
      <c r="R199" s="16" t="s">
        <v>53</v>
      </c>
      <c r="S199" s="16"/>
    </row>
    <row r="200" spans="1:19" ht="20.100000000000001" customHeight="1" x14ac:dyDescent="0.15">
      <c r="A200" s="16">
        <v>195</v>
      </c>
      <c r="B200" s="16" t="s">
        <v>63</v>
      </c>
      <c r="C200" s="16" t="s">
        <v>42</v>
      </c>
      <c r="D200" s="16" t="s">
        <v>278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>
        <v>250</v>
      </c>
      <c r="R200" s="16" t="s">
        <v>53</v>
      </c>
      <c r="S200" s="16"/>
    </row>
    <row r="201" spans="1:19" ht="20.100000000000001" customHeight="1" x14ac:dyDescent="0.15">
      <c r="A201" s="16">
        <v>196</v>
      </c>
      <c r="B201" s="16" t="s">
        <v>63</v>
      </c>
      <c r="C201" s="16" t="s">
        <v>42</v>
      </c>
      <c r="D201" s="16" t="s">
        <v>279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>
        <v>250</v>
      </c>
      <c r="R201" s="16" t="s">
        <v>53</v>
      </c>
      <c r="S201" s="16"/>
    </row>
    <row r="202" spans="1:19" ht="20.100000000000001" customHeight="1" x14ac:dyDescent="0.15">
      <c r="A202" s="16">
        <v>197</v>
      </c>
      <c r="B202" s="16" t="s">
        <v>63</v>
      </c>
      <c r="C202" s="16" t="s">
        <v>42</v>
      </c>
      <c r="D202" s="16" t="s">
        <v>280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>
        <v>250</v>
      </c>
      <c r="R202" s="16" t="s">
        <v>53</v>
      </c>
      <c r="S202" s="16"/>
    </row>
    <row r="203" spans="1:19" ht="20.100000000000001" customHeight="1" x14ac:dyDescent="0.15">
      <c r="A203" s="16">
        <v>198</v>
      </c>
      <c r="B203" s="16" t="s">
        <v>63</v>
      </c>
      <c r="C203" s="16" t="s">
        <v>42</v>
      </c>
      <c r="D203" s="16" t="s">
        <v>281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>
        <v>250</v>
      </c>
      <c r="R203" s="16" t="s">
        <v>51</v>
      </c>
      <c r="S203" s="16"/>
    </row>
    <row r="204" spans="1:19" ht="20.100000000000001" customHeight="1" x14ac:dyDescent="0.15">
      <c r="A204" s="16">
        <v>199</v>
      </c>
      <c r="B204" s="16" t="s">
        <v>63</v>
      </c>
      <c r="C204" s="16" t="s">
        <v>42</v>
      </c>
      <c r="D204" s="16" t="s">
        <v>282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>
        <v>250</v>
      </c>
      <c r="R204" s="16" t="s">
        <v>58</v>
      </c>
      <c r="S204" s="16"/>
    </row>
    <row r="205" spans="1:19" ht="20.100000000000001" customHeight="1" x14ac:dyDescent="0.15">
      <c r="A205" s="16">
        <v>200</v>
      </c>
      <c r="B205" s="16" t="s">
        <v>63</v>
      </c>
      <c r="C205" s="16" t="s">
        <v>42</v>
      </c>
      <c r="D205" s="16" t="s">
        <v>283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>
        <v>250</v>
      </c>
      <c r="R205" s="16" t="s">
        <v>51</v>
      </c>
      <c r="S205" s="16"/>
    </row>
    <row r="206" spans="1:19" ht="20.100000000000001" customHeight="1" x14ac:dyDescent="0.15">
      <c r="A206" s="16">
        <v>201</v>
      </c>
      <c r="B206" s="16" t="s">
        <v>63</v>
      </c>
      <c r="C206" s="16" t="s">
        <v>42</v>
      </c>
      <c r="D206" s="16" t="s">
        <v>284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>
        <v>250</v>
      </c>
      <c r="R206" s="16" t="s">
        <v>56</v>
      </c>
      <c r="S206" s="16"/>
    </row>
    <row r="207" spans="1:19" ht="20.100000000000001" customHeight="1" x14ac:dyDescent="0.15">
      <c r="A207" s="16">
        <v>202</v>
      </c>
      <c r="B207" s="16" t="s">
        <v>63</v>
      </c>
      <c r="C207" s="16" t="s">
        <v>42</v>
      </c>
      <c r="D207" s="16" t="s">
        <v>285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>
        <v>250</v>
      </c>
      <c r="R207" s="16" t="s">
        <v>56</v>
      </c>
      <c r="S207" s="16"/>
    </row>
    <row r="208" spans="1:19" ht="20.100000000000001" customHeight="1" x14ac:dyDescent="0.15">
      <c r="A208" s="16">
        <v>203</v>
      </c>
      <c r="B208" s="16" t="s">
        <v>76</v>
      </c>
      <c r="C208" s="16" t="s">
        <v>153</v>
      </c>
      <c r="D208" s="16" t="s">
        <v>286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>
        <v>250</v>
      </c>
      <c r="R208" s="16" t="s">
        <v>46</v>
      </c>
      <c r="S208" s="16"/>
    </row>
    <row r="209" spans="1:19" ht="20.100000000000001" customHeight="1" x14ac:dyDescent="0.15">
      <c r="A209" s="16">
        <v>204</v>
      </c>
      <c r="B209" s="16" t="s">
        <v>76</v>
      </c>
      <c r="C209" s="16" t="s">
        <v>153</v>
      </c>
      <c r="D209" s="16" t="s">
        <v>287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>
        <v>250</v>
      </c>
      <c r="R209" s="16" t="s">
        <v>53</v>
      </c>
      <c r="S209" s="16"/>
    </row>
    <row r="210" spans="1:19" ht="20.100000000000001" customHeight="1" x14ac:dyDescent="0.15">
      <c r="A210" s="16">
        <v>205</v>
      </c>
      <c r="B210" s="16" t="s">
        <v>76</v>
      </c>
      <c r="C210" s="16" t="s">
        <v>153</v>
      </c>
      <c r="D210" s="16" t="s">
        <v>104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>
        <v>250</v>
      </c>
      <c r="R210" s="16" t="s">
        <v>44</v>
      </c>
      <c r="S210" s="16"/>
    </row>
    <row r="211" spans="1:19" ht="20.100000000000001" customHeight="1" x14ac:dyDescent="0.15">
      <c r="A211" s="16">
        <v>206</v>
      </c>
      <c r="B211" s="16" t="s">
        <v>76</v>
      </c>
      <c r="C211" s="16" t="s">
        <v>153</v>
      </c>
      <c r="D211" s="16" t="s">
        <v>288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>
        <v>250</v>
      </c>
      <c r="R211" s="16" t="s">
        <v>44</v>
      </c>
      <c r="S211" s="16"/>
    </row>
    <row r="212" spans="1:19" ht="20.100000000000001" customHeight="1" x14ac:dyDescent="0.15">
      <c r="A212" s="16">
        <v>207</v>
      </c>
      <c r="B212" s="16" t="s">
        <v>76</v>
      </c>
      <c r="C212" s="16" t="s">
        <v>153</v>
      </c>
      <c r="D212" s="16" t="s">
        <v>289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>
        <v>250</v>
      </c>
      <c r="R212" s="16" t="s">
        <v>52</v>
      </c>
      <c r="S212" s="16"/>
    </row>
    <row r="213" spans="1:19" ht="20.100000000000001" customHeight="1" x14ac:dyDescent="0.15">
      <c r="A213" s="16">
        <v>208</v>
      </c>
      <c r="B213" s="16" t="s">
        <v>76</v>
      </c>
      <c r="C213" s="16" t="s">
        <v>153</v>
      </c>
      <c r="D213" s="16" t="s">
        <v>290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>
        <v>250</v>
      </c>
      <c r="R213" s="16" t="s">
        <v>52</v>
      </c>
      <c r="S213" s="16"/>
    </row>
    <row r="214" spans="1:19" ht="20.100000000000001" customHeight="1" x14ac:dyDescent="0.15">
      <c r="A214" s="16">
        <v>209</v>
      </c>
      <c r="B214" s="16" t="s">
        <v>76</v>
      </c>
      <c r="C214" s="16" t="s">
        <v>153</v>
      </c>
      <c r="D214" s="16" t="s">
        <v>291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>
        <v>250</v>
      </c>
      <c r="R214" s="16" t="s">
        <v>53</v>
      </c>
      <c r="S214" s="16"/>
    </row>
    <row r="215" spans="1:19" ht="20.100000000000001" customHeight="1" x14ac:dyDescent="0.15">
      <c r="A215" s="16">
        <v>210</v>
      </c>
      <c r="B215" s="16" t="s">
        <v>66</v>
      </c>
      <c r="C215" s="16" t="s">
        <v>42</v>
      </c>
      <c r="D215" s="16" t="s">
        <v>292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>
        <v>250</v>
      </c>
      <c r="R215" s="16" t="s">
        <v>53</v>
      </c>
      <c r="S215" s="16"/>
    </row>
    <row r="216" spans="1:19" ht="20.100000000000001" customHeight="1" x14ac:dyDescent="0.15">
      <c r="A216" s="16">
        <v>211</v>
      </c>
      <c r="B216" s="16" t="s">
        <v>66</v>
      </c>
      <c r="C216" s="16" t="s">
        <v>42</v>
      </c>
      <c r="D216" s="16" t="s">
        <v>293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>
        <v>250</v>
      </c>
      <c r="R216" s="16" t="s">
        <v>51</v>
      </c>
      <c r="S216" s="16"/>
    </row>
    <row r="217" spans="1:19" ht="20.100000000000001" customHeight="1" x14ac:dyDescent="0.15">
      <c r="A217" s="16">
        <v>212</v>
      </c>
      <c r="B217" s="16" t="s">
        <v>66</v>
      </c>
      <c r="C217" s="16" t="s">
        <v>42</v>
      </c>
      <c r="D217" s="16" t="s">
        <v>294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>
        <v>250</v>
      </c>
      <c r="R217" s="16" t="s">
        <v>46</v>
      </c>
      <c r="S217" s="16"/>
    </row>
    <row r="218" spans="1:19" ht="20.100000000000001" customHeight="1" x14ac:dyDescent="0.15">
      <c r="A218" s="16">
        <v>213</v>
      </c>
      <c r="B218" s="16" t="s">
        <v>66</v>
      </c>
      <c r="C218" s="16" t="s">
        <v>42</v>
      </c>
      <c r="D218" s="16" t="s">
        <v>295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>
        <v>250</v>
      </c>
      <c r="R218" s="16" t="s">
        <v>46</v>
      </c>
      <c r="S218" s="16"/>
    </row>
    <row r="219" spans="1:19" ht="20.100000000000001" customHeight="1" x14ac:dyDescent="0.15">
      <c r="A219" s="16">
        <v>214</v>
      </c>
      <c r="B219" s="16" t="s">
        <v>66</v>
      </c>
      <c r="C219" s="16" t="s">
        <v>42</v>
      </c>
      <c r="D219" s="16" t="s">
        <v>296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>
        <v>250</v>
      </c>
      <c r="R219" s="16" t="s">
        <v>53</v>
      </c>
      <c r="S219" s="16"/>
    </row>
    <row r="220" spans="1:19" ht="20.100000000000001" customHeight="1" x14ac:dyDescent="0.15">
      <c r="A220" s="16">
        <v>215</v>
      </c>
      <c r="B220" s="16" t="s">
        <v>66</v>
      </c>
      <c r="C220" s="16" t="s">
        <v>42</v>
      </c>
      <c r="D220" s="16" t="s">
        <v>297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>
        <v>250</v>
      </c>
      <c r="R220" s="16" t="s">
        <v>46</v>
      </c>
      <c r="S220" s="16"/>
    </row>
    <row r="221" spans="1:19" ht="20.100000000000001" customHeight="1" x14ac:dyDescent="0.15">
      <c r="A221" s="16">
        <v>216</v>
      </c>
      <c r="B221" s="16" t="s">
        <v>66</v>
      </c>
      <c r="C221" s="16" t="s">
        <v>42</v>
      </c>
      <c r="D221" s="16" t="s">
        <v>298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>
        <v>250</v>
      </c>
      <c r="R221" s="16" t="s">
        <v>46</v>
      </c>
      <c r="S221" s="16"/>
    </row>
    <row r="222" spans="1:19" ht="20.100000000000001" customHeight="1" x14ac:dyDescent="0.15">
      <c r="A222" s="16">
        <v>217</v>
      </c>
      <c r="B222" s="16" t="s">
        <v>66</v>
      </c>
      <c r="C222" s="16" t="s">
        <v>42</v>
      </c>
      <c r="D222" s="16" t="s">
        <v>299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>
        <v>250</v>
      </c>
      <c r="R222" s="16" t="s">
        <v>46</v>
      </c>
      <c r="S222" s="16"/>
    </row>
    <row r="223" spans="1:19" ht="20.100000000000001" customHeight="1" x14ac:dyDescent="0.15">
      <c r="A223" s="16">
        <v>218</v>
      </c>
      <c r="B223" s="16" t="s">
        <v>77</v>
      </c>
      <c r="C223" s="16" t="s">
        <v>42</v>
      </c>
      <c r="D223" s="16" t="s">
        <v>300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>
        <v>250</v>
      </c>
      <c r="R223" s="16" t="s">
        <v>58</v>
      </c>
      <c r="S223" s="16"/>
    </row>
    <row r="224" spans="1:19" ht="20.100000000000001" customHeight="1" x14ac:dyDescent="0.15">
      <c r="A224" s="16">
        <v>219</v>
      </c>
      <c r="B224" s="16" t="s">
        <v>71</v>
      </c>
      <c r="C224" s="16" t="s">
        <v>301</v>
      </c>
      <c r="D224" s="16" t="s">
        <v>302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>
        <v>250</v>
      </c>
      <c r="R224" s="16" t="s">
        <v>46</v>
      </c>
      <c r="S224" s="16"/>
    </row>
    <row r="225" spans="1:19" ht="20.100000000000001" customHeight="1" x14ac:dyDescent="0.15">
      <c r="A225" s="16">
        <v>220</v>
      </c>
      <c r="B225" s="16" t="s">
        <v>71</v>
      </c>
      <c r="C225" s="16" t="s">
        <v>153</v>
      </c>
      <c r="D225" s="16" t="s">
        <v>303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>
        <v>250</v>
      </c>
      <c r="R225" s="16" t="s">
        <v>44</v>
      </c>
      <c r="S225" s="16"/>
    </row>
    <row r="226" spans="1:19" ht="20.100000000000001" customHeight="1" x14ac:dyDescent="0.15">
      <c r="A226" s="16">
        <v>221</v>
      </c>
      <c r="B226" s="16" t="s">
        <v>71</v>
      </c>
      <c r="C226" s="16" t="s">
        <v>153</v>
      </c>
      <c r="D226" s="16" t="s">
        <v>304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>
        <v>250</v>
      </c>
      <c r="R226" s="16" t="s">
        <v>53</v>
      </c>
      <c r="S226" s="16"/>
    </row>
    <row r="227" spans="1:19" ht="20.100000000000001" customHeight="1" x14ac:dyDescent="0.15">
      <c r="A227" s="16">
        <v>222</v>
      </c>
      <c r="B227" s="16" t="s">
        <v>71</v>
      </c>
      <c r="C227" s="16" t="s">
        <v>153</v>
      </c>
      <c r="D227" s="16" t="s">
        <v>305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>
        <v>250</v>
      </c>
      <c r="R227" s="16" t="s">
        <v>57</v>
      </c>
      <c r="S227" s="16"/>
    </row>
    <row r="228" spans="1:19" ht="20.100000000000001" customHeight="1" x14ac:dyDescent="0.15">
      <c r="A228" s="16">
        <v>223</v>
      </c>
      <c r="B228" s="16" t="s">
        <v>71</v>
      </c>
      <c r="C228" s="16" t="s">
        <v>153</v>
      </c>
      <c r="D228" s="16" t="s">
        <v>306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>
        <v>250</v>
      </c>
      <c r="R228" s="16" t="s">
        <v>53</v>
      </c>
      <c r="S228" s="16"/>
    </row>
    <row r="229" spans="1:19" ht="20.100000000000001" customHeight="1" x14ac:dyDescent="0.15">
      <c r="A229" s="16">
        <v>224</v>
      </c>
      <c r="B229" s="16" t="s">
        <v>71</v>
      </c>
      <c r="C229" s="16" t="s">
        <v>153</v>
      </c>
      <c r="D229" s="16" t="s">
        <v>307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>
        <v>250</v>
      </c>
      <c r="R229" s="16" t="s">
        <v>44</v>
      </c>
      <c r="S229" s="16"/>
    </row>
    <row r="230" spans="1:19" ht="20.100000000000001" customHeight="1" x14ac:dyDescent="0.15">
      <c r="A230" s="16">
        <v>225</v>
      </c>
      <c r="B230" s="16" t="s">
        <v>71</v>
      </c>
      <c r="C230" s="16" t="s">
        <v>153</v>
      </c>
      <c r="D230" s="16" t="s">
        <v>308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>
        <v>250</v>
      </c>
      <c r="R230" s="16" t="s">
        <v>51</v>
      </c>
      <c r="S230" s="16"/>
    </row>
    <row r="231" spans="1:19" ht="20.100000000000001" customHeight="1" x14ac:dyDescent="0.15">
      <c r="A231" s="16">
        <v>226</v>
      </c>
      <c r="B231" s="16" t="s">
        <v>71</v>
      </c>
      <c r="C231" s="16" t="s">
        <v>153</v>
      </c>
      <c r="D231" s="16" t="s">
        <v>309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>
        <v>250</v>
      </c>
      <c r="R231" s="16" t="s">
        <v>57</v>
      </c>
      <c r="S231" s="16"/>
    </row>
    <row r="232" spans="1:19" ht="20.100000000000001" customHeight="1" x14ac:dyDescent="0.15">
      <c r="A232" s="16">
        <v>227</v>
      </c>
      <c r="B232" s="16" t="s">
        <v>71</v>
      </c>
      <c r="C232" s="16" t="s">
        <v>153</v>
      </c>
      <c r="D232" s="16" t="s">
        <v>310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>
        <v>250</v>
      </c>
      <c r="R232" s="16" t="s">
        <v>58</v>
      </c>
      <c r="S232" s="16"/>
    </row>
    <row r="233" spans="1:19" ht="20.100000000000001" customHeight="1" x14ac:dyDescent="0.15">
      <c r="A233" s="16">
        <v>228</v>
      </c>
      <c r="B233" s="16" t="s">
        <v>73</v>
      </c>
      <c r="C233" s="16" t="s">
        <v>311</v>
      </c>
      <c r="D233" s="16" t="s">
        <v>312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>
        <v>250</v>
      </c>
      <c r="R233" s="16" t="s">
        <v>52</v>
      </c>
      <c r="S233" s="16"/>
    </row>
    <row r="234" spans="1:19" ht="20.100000000000001" customHeight="1" x14ac:dyDescent="0.15">
      <c r="A234" s="16">
        <v>229</v>
      </c>
      <c r="B234" s="16" t="s">
        <v>65</v>
      </c>
      <c r="C234" s="16" t="s">
        <v>42</v>
      </c>
      <c r="D234" s="16" t="s">
        <v>313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>
        <v>250</v>
      </c>
      <c r="R234" s="16" t="s">
        <v>46</v>
      </c>
      <c r="S234" s="16"/>
    </row>
    <row r="235" spans="1:19" ht="20.100000000000001" customHeight="1" x14ac:dyDescent="0.15">
      <c r="A235" s="16">
        <v>230</v>
      </c>
      <c r="B235" s="16" t="s">
        <v>65</v>
      </c>
      <c r="C235" s="16" t="s">
        <v>42</v>
      </c>
      <c r="D235" s="16" t="s">
        <v>314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>
        <v>250</v>
      </c>
      <c r="R235" s="16" t="s">
        <v>46</v>
      </c>
      <c r="S235" s="16"/>
    </row>
    <row r="236" spans="1:19" ht="20.100000000000001" customHeight="1" x14ac:dyDescent="0.15">
      <c r="A236" s="16">
        <v>231</v>
      </c>
      <c r="B236" s="16" t="s">
        <v>65</v>
      </c>
      <c r="C236" s="16" t="s">
        <v>42</v>
      </c>
      <c r="D236" s="16" t="s">
        <v>315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>
        <v>250</v>
      </c>
      <c r="R236" s="16" t="s">
        <v>46</v>
      </c>
      <c r="S236" s="16"/>
    </row>
    <row r="237" spans="1:19" ht="20.100000000000001" customHeight="1" x14ac:dyDescent="0.15">
      <c r="A237" s="16">
        <v>232</v>
      </c>
      <c r="B237" s="16" t="s">
        <v>65</v>
      </c>
      <c r="C237" s="16" t="s">
        <v>42</v>
      </c>
      <c r="D237" s="16" t="s">
        <v>316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>
        <v>250</v>
      </c>
      <c r="R237" s="16" t="s">
        <v>46</v>
      </c>
      <c r="S237" s="16"/>
    </row>
    <row r="238" spans="1:19" ht="20.100000000000001" customHeight="1" x14ac:dyDescent="0.15">
      <c r="A238" s="16">
        <v>233</v>
      </c>
      <c r="B238" s="16" t="s">
        <v>65</v>
      </c>
      <c r="C238" s="16" t="s">
        <v>42</v>
      </c>
      <c r="D238" s="16" t="s">
        <v>317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>
        <v>250</v>
      </c>
      <c r="R238" s="16" t="s">
        <v>46</v>
      </c>
      <c r="S238" s="16"/>
    </row>
    <row r="239" spans="1:19" ht="20.100000000000001" customHeight="1" x14ac:dyDescent="0.15">
      <c r="A239" s="16">
        <v>234</v>
      </c>
      <c r="B239" s="16" t="s">
        <v>65</v>
      </c>
      <c r="C239" s="16" t="s">
        <v>42</v>
      </c>
      <c r="D239" s="16" t="s">
        <v>318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>
        <v>250</v>
      </c>
      <c r="R239" s="16" t="s">
        <v>46</v>
      </c>
      <c r="S239" s="16"/>
    </row>
    <row r="240" spans="1:19" ht="20.100000000000001" customHeight="1" x14ac:dyDescent="0.15">
      <c r="A240" s="16">
        <v>235</v>
      </c>
      <c r="B240" s="16" t="s">
        <v>65</v>
      </c>
      <c r="C240" s="16" t="s">
        <v>42</v>
      </c>
      <c r="D240" s="16" t="s">
        <v>319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>
        <v>250</v>
      </c>
      <c r="R240" s="16" t="s">
        <v>51</v>
      </c>
      <c r="S240" s="16"/>
    </row>
    <row r="241" spans="1:19" ht="20.100000000000001" customHeight="1" x14ac:dyDescent="0.15">
      <c r="A241" s="16">
        <v>236</v>
      </c>
      <c r="B241" s="16" t="s">
        <v>65</v>
      </c>
      <c r="C241" s="16" t="s">
        <v>42</v>
      </c>
      <c r="D241" s="16" t="s">
        <v>320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>
        <v>250</v>
      </c>
      <c r="R241" s="16" t="s">
        <v>53</v>
      </c>
      <c r="S241" s="16"/>
    </row>
    <row r="242" spans="1:19" ht="20.100000000000001" customHeight="1" x14ac:dyDescent="0.15">
      <c r="A242" s="16">
        <v>237</v>
      </c>
      <c r="B242" s="16" t="s">
        <v>65</v>
      </c>
      <c r="C242" s="16" t="s">
        <v>42</v>
      </c>
      <c r="D242" s="16" t="s">
        <v>321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>
        <v>250</v>
      </c>
      <c r="R242" s="16" t="s">
        <v>53</v>
      </c>
      <c r="S242" s="16"/>
    </row>
    <row r="243" spans="1:19" ht="20.100000000000001" customHeight="1" x14ac:dyDescent="0.15">
      <c r="A243" s="16">
        <v>238</v>
      </c>
      <c r="B243" s="16" t="s">
        <v>65</v>
      </c>
      <c r="C243" s="16" t="s">
        <v>42</v>
      </c>
      <c r="D243" s="16" t="s">
        <v>322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>
        <v>250</v>
      </c>
      <c r="R243" s="16" t="s">
        <v>58</v>
      </c>
      <c r="S243" s="16"/>
    </row>
    <row r="244" spans="1:19" ht="20.100000000000001" customHeight="1" x14ac:dyDescent="0.15">
      <c r="A244" s="16">
        <v>239</v>
      </c>
      <c r="B244" s="16" t="s">
        <v>65</v>
      </c>
      <c r="C244" s="16" t="s">
        <v>42</v>
      </c>
      <c r="D244" s="16" t="s">
        <v>323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>
        <v>250</v>
      </c>
      <c r="R244" s="16" t="s">
        <v>53</v>
      </c>
      <c r="S244" s="16"/>
    </row>
    <row r="245" spans="1:19" ht="20.100000000000001" customHeight="1" x14ac:dyDescent="0.15">
      <c r="A245" s="16">
        <v>240</v>
      </c>
      <c r="B245" s="16" t="s">
        <v>72</v>
      </c>
      <c r="C245" s="16" t="s">
        <v>153</v>
      </c>
      <c r="D245" s="16" t="s">
        <v>324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>
        <v>250</v>
      </c>
      <c r="R245" s="16" t="s">
        <v>59</v>
      </c>
      <c r="S245" s="16" t="s">
        <v>325</v>
      </c>
    </row>
    <row r="246" spans="1:19" ht="20.100000000000001" customHeight="1" x14ac:dyDescent="0.15">
      <c r="A246" s="16">
        <v>241</v>
      </c>
      <c r="B246" s="16" t="s">
        <v>72</v>
      </c>
      <c r="C246" s="16" t="s">
        <v>153</v>
      </c>
      <c r="D246" s="16" t="s">
        <v>326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>
        <v>250</v>
      </c>
      <c r="R246" s="16" t="s">
        <v>58</v>
      </c>
      <c r="S246" s="16"/>
    </row>
    <row r="247" spans="1:19" ht="20.100000000000001" customHeight="1" x14ac:dyDescent="0.15">
      <c r="A247" s="16">
        <v>242</v>
      </c>
      <c r="B247" s="16" t="s">
        <v>72</v>
      </c>
      <c r="C247" s="16" t="s">
        <v>153</v>
      </c>
      <c r="D247" s="16" t="s">
        <v>327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>
        <v>250</v>
      </c>
      <c r="R247" s="16" t="s">
        <v>58</v>
      </c>
      <c r="S247" s="16"/>
    </row>
    <row r="248" spans="1:19" ht="20.100000000000001" customHeight="1" x14ac:dyDescent="0.15">
      <c r="A248" s="16">
        <v>243</v>
      </c>
      <c r="B248" s="16" t="s">
        <v>74</v>
      </c>
      <c r="C248" s="16" t="s">
        <v>42</v>
      </c>
      <c r="D248" s="16" t="s">
        <v>328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>
        <v>250</v>
      </c>
      <c r="R248" s="16" t="s">
        <v>46</v>
      </c>
      <c r="S248" s="16"/>
    </row>
    <row r="249" spans="1:19" ht="20.100000000000001" customHeight="1" x14ac:dyDescent="0.15">
      <c r="A249" s="16">
        <v>244</v>
      </c>
      <c r="B249" s="16" t="s">
        <v>74</v>
      </c>
      <c r="C249" s="16" t="s">
        <v>42</v>
      </c>
      <c r="D249" s="16" t="s">
        <v>329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>
        <v>250</v>
      </c>
      <c r="R249" s="16" t="s">
        <v>46</v>
      </c>
      <c r="S249" s="16"/>
    </row>
    <row r="250" spans="1:19" ht="20.100000000000001" customHeight="1" x14ac:dyDescent="0.15">
      <c r="A250" s="16">
        <v>245</v>
      </c>
      <c r="B250" s="16" t="s">
        <v>74</v>
      </c>
      <c r="C250" s="16" t="s">
        <v>42</v>
      </c>
      <c r="D250" s="16" t="s">
        <v>330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>
        <v>250</v>
      </c>
      <c r="R250" s="16" t="s">
        <v>46</v>
      </c>
      <c r="S250" s="16"/>
    </row>
    <row r="251" spans="1:19" ht="20.100000000000001" customHeight="1" x14ac:dyDescent="0.15">
      <c r="A251" s="16">
        <v>246</v>
      </c>
      <c r="B251" s="16" t="s">
        <v>74</v>
      </c>
      <c r="C251" s="16" t="s">
        <v>42</v>
      </c>
      <c r="D251" s="16" t="s">
        <v>331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>
        <v>250</v>
      </c>
      <c r="R251" s="16" t="s">
        <v>52</v>
      </c>
      <c r="S251" s="16"/>
    </row>
    <row r="252" spans="1:19" ht="20.100000000000001" customHeight="1" x14ac:dyDescent="0.15">
      <c r="A252" s="16">
        <v>247</v>
      </c>
      <c r="B252" s="16" t="s">
        <v>74</v>
      </c>
      <c r="C252" s="16" t="s">
        <v>42</v>
      </c>
      <c r="D252" s="16" t="s">
        <v>332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>
        <v>250</v>
      </c>
      <c r="R252" s="16" t="s">
        <v>52</v>
      </c>
      <c r="S252" s="16"/>
    </row>
    <row r="253" spans="1:19" ht="20.100000000000001" customHeight="1" x14ac:dyDescent="0.15">
      <c r="A253" s="16">
        <v>248</v>
      </c>
      <c r="B253" s="16" t="s">
        <v>74</v>
      </c>
      <c r="C253" s="16" t="s">
        <v>42</v>
      </c>
      <c r="D253" s="16" t="s">
        <v>333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>
        <v>250</v>
      </c>
      <c r="R253" s="16" t="s">
        <v>44</v>
      </c>
      <c r="S253" s="16"/>
    </row>
    <row r="254" spans="1:19" ht="20.100000000000001" customHeight="1" x14ac:dyDescent="0.15">
      <c r="A254" s="16">
        <v>249</v>
      </c>
      <c r="B254" s="16" t="s">
        <v>74</v>
      </c>
      <c r="C254" s="16" t="s">
        <v>42</v>
      </c>
      <c r="D254" s="16" t="s">
        <v>334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>
        <v>250</v>
      </c>
      <c r="R254" s="16" t="s">
        <v>53</v>
      </c>
      <c r="S254" s="16"/>
    </row>
    <row r="255" spans="1:19" ht="20.100000000000001" customHeight="1" x14ac:dyDescent="0.15">
      <c r="A255" s="16">
        <v>250</v>
      </c>
      <c r="B255" s="16" t="s">
        <v>74</v>
      </c>
      <c r="C255" s="16" t="s">
        <v>42</v>
      </c>
      <c r="D255" s="16" t="s">
        <v>335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>
        <v>250</v>
      </c>
      <c r="R255" s="16" t="s">
        <v>58</v>
      </c>
      <c r="S255" s="16"/>
    </row>
    <row r="256" spans="1:19" ht="20.100000000000001" customHeight="1" x14ac:dyDescent="0.15">
      <c r="A256" s="16">
        <v>251</v>
      </c>
      <c r="B256" s="16" t="s">
        <v>74</v>
      </c>
      <c r="C256" s="16" t="s">
        <v>42</v>
      </c>
      <c r="D256" s="16" t="s">
        <v>336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>
        <v>250</v>
      </c>
      <c r="R256" s="16" t="s">
        <v>58</v>
      </c>
      <c r="S256" s="16"/>
    </row>
    <row r="257" spans="1:19" ht="20.100000000000001" customHeight="1" x14ac:dyDescent="0.15">
      <c r="A257" s="16">
        <v>252</v>
      </c>
      <c r="B257" s="16" t="s">
        <v>74</v>
      </c>
      <c r="C257" s="16" t="s">
        <v>42</v>
      </c>
      <c r="D257" s="16" t="s">
        <v>337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>
        <v>250</v>
      </c>
      <c r="R257" s="16" t="s">
        <v>58</v>
      </c>
      <c r="S257" s="16"/>
    </row>
    <row r="258" spans="1:19" ht="20.100000000000001" customHeight="1" x14ac:dyDescent="0.15">
      <c r="A258" s="16">
        <v>253</v>
      </c>
      <c r="B258" s="16" t="s">
        <v>74</v>
      </c>
      <c r="C258" s="16" t="s">
        <v>42</v>
      </c>
      <c r="D258" s="16" t="s">
        <v>338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>
        <v>250</v>
      </c>
      <c r="R258" s="16" t="s">
        <v>58</v>
      </c>
      <c r="S258" s="16"/>
    </row>
    <row r="259" spans="1:19" ht="20.100000000000001" customHeight="1" x14ac:dyDescent="0.15">
      <c r="A259" s="16">
        <v>254</v>
      </c>
      <c r="B259" s="16" t="s">
        <v>74</v>
      </c>
      <c r="C259" s="16" t="s">
        <v>42</v>
      </c>
      <c r="D259" s="16" t="s">
        <v>339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>
        <v>250</v>
      </c>
      <c r="R259" s="16" t="s">
        <v>57</v>
      </c>
      <c r="S259" s="16"/>
    </row>
    <row r="260" spans="1:19" ht="20.100000000000001" customHeight="1" x14ac:dyDescent="0.15">
      <c r="A260" s="16">
        <v>255</v>
      </c>
      <c r="B260" s="16" t="s">
        <v>74</v>
      </c>
      <c r="C260" s="16" t="s">
        <v>42</v>
      </c>
      <c r="D260" s="16" t="s">
        <v>340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>
        <v>250</v>
      </c>
      <c r="R260" s="16" t="s">
        <v>57</v>
      </c>
      <c r="S260" s="16"/>
    </row>
    <row r="261" spans="1:19" ht="20.100000000000001" customHeight="1" x14ac:dyDescent="0.15">
      <c r="A261" s="16">
        <v>256</v>
      </c>
      <c r="B261" s="16" t="s">
        <v>74</v>
      </c>
      <c r="C261" s="16" t="s">
        <v>42</v>
      </c>
      <c r="D261" s="16" t="s">
        <v>341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>
        <v>250</v>
      </c>
      <c r="R261" s="16" t="s">
        <v>59</v>
      </c>
      <c r="S261" s="16" t="s">
        <v>342</v>
      </c>
    </row>
    <row r="262" spans="1:19" ht="20.100000000000001" customHeight="1" x14ac:dyDescent="0.15">
      <c r="A262" s="16">
        <v>257</v>
      </c>
      <c r="B262" s="16" t="s">
        <v>75</v>
      </c>
      <c r="C262" s="16" t="s">
        <v>42</v>
      </c>
      <c r="D262" s="16" t="s">
        <v>343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>
        <v>250</v>
      </c>
      <c r="R262" s="16" t="s">
        <v>58</v>
      </c>
      <c r="S262" s="16"/>
    </row>
    <row r="263" spans="1:19" ht="20.100000000000001" customHeight="1" x14ac:dyDescent="0.15">
      <c r="A263" s="16">
        <v>258</v>
      </c>
      <c r="B263" s="16" t="s">
        <v>75</v>
      </c>
      <c r="C263" s="16" t="s">
        <v>42</v>
      </c>
      <c r="D263" s="16" t="s">
        <v>344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>
        <v>250</v>
      </c>
      <c r="R263" s="16" t="s">
        <v>46</v>
      </c>
      <c r="S263" s="16"/>
    </row>
    <row r="264" spans="1:19" ht="20.100000000000001" customHeight="1" x14ac:dyDescent="0.15">
      <c r="A264" s="16">
        <v>259</v>
      </c>
      <c r="B264" s="16" t="s">
        <v>75</v>
      </c>
      <c r="C264" s="16" t="s">
        <v>42</v>
      </c>
      <c r="D264" s="16" t="s">
        <v>345</v>
      </c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>
        <v>250</v>
      </c>
      <c r="R264" s="16" t="s">
        <v>58</v>
      </c>
      <c r="S264" s="16"/>
    </row>
    <row r="265" spans="1:19" ht="20.100000000000001" customHeight="1" x14ac:dyDescent="0.15">
      <c r="A265" s="16">
        <v>260</v>
      </c>
      <c r="B265" s="16" t="s">
        <v>75</v>
      </c>
      <c r="C265" s="16" t="s">
        <v>42</v>
      </c>
      <c r="D265" s="16" t="s">
        <v>346</v>
      </c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>
        <v>250</v>
      </c>
      <c r="R265" s="16" t="s">
        <v>58</v>
      </c>
      <c r="S265" s="16"/>
    </row>
    <row r="266" spans="1:19" ht="20.100000000000001" customHeight="1" x14ac:dyDescent="0.15">
      <c r="A266" s="16">
        <v>261</v>
      </c>
      <c r="B266" s="16" t="s">
        <v>75</v>
      </c>
      <c r="C266" s="16" t="s">
        <v>42</v>
      </c>
      <c r="D266" s="16" t="s">
        <v>347</v>
      </c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>
        <v>250</v>
      </c>
      <c r="R266" s="16" t="s">
        <v>58</v>
      </c>
      <c r="S266" s="16"/>
    </row>
    <row r="267" spans="1:19" ht="20.100000000000001" customHeight="1" x14ac:dyDescent="0.15">
      <c r="A267" s="16">
        <v>262</v>
      </c>
      <c r="B267" s="16" t="s">
        <v>75</v>
      </c>
      <c r="C267" s="16" t="s">
        <v>42</v>
      </c>
      <c r="D267" s="16" t="s">
        <v>348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>
        <v>250</v>
      </c>
      <c r="R267" s="16" t="s">
        <v>44</v>
      </c>
      <c r="S267" s="16"/>
    </row>
    <row r="268" spans="1:19" ht="20.100000000000001" customHeight="1" x14ac:dyDescent="0.15">
      <c r="A268" s="16">
        <v>263</v>
      </c>
      <c r="B268" s="16" t="s">
        <v>75</v>
      </c>
      <c r="C268" s="16" t="s">
        <v>42</v>
      </c>
      <c r="D268" s="16" t="s">
        <v>349</v>
      </c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>
        <v>250</v>
      </c>
      <c r="R268" s="16" t="s">
        <v>44</v>
      </c>
      <c r="S268" s="16"/>
    </row>
    <row r="269" spans="1:19" ht="20.100000000000001" customHeight="1" x14ac:dyDescent="0.15">
      <c r="A269" s="16">
        <v>264</v>
      </c>
      <c r="B269" s="16" t="s">
        <v>75</v>
      </c>
      <c r="C269" s="16" t="s">
        <v>42</v>
      </c>
      <c r="D269" s="16" t="s">
        <v>350</v>
      </c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>
        <v>250</v>
      </c>
      <c r="R269" s="16" t="s">
        <v>46</v>
      </c>
      <c r="S269" s="16"/>
    </row>
    <row r="270" spans="1:19" ht="20.100000000000001" customHeight="1" x14ac:dyDescent="0.15">
      <c r="A270" s="16">
        <v>265</v>
      </c>
      <c r="B270" s="16" t="s">
        <v>75</v>
      </c>
      <c r="C270" s="16" t="s">
        <v>42</v>
      </c>
      <c r="D270" s="16" t="s">
        <v>351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>
        <v>250</v>
      </c>
      <c r="R270" s="16" t="s">
        <v>46</v>
      </c>
      <c r="S270" s="16"/>
    </row>
    <row r="271" spans="1:19" ht="20.100000000000001" customHeight="1" x14ac:dyDescent="0.15">
      <c r="A271" s="16">
        <v>266</v>
      </c>
      <c r="B271" s="16" t="s">
        <v>75</v>
      </c>
      <c r="C271" s="16" t="s">
        <v>42</v>
      </c>
      <c r="D271" s="16" t="s">
        <v>352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>
        <v>250</v>
      </c>
      <c r="R271" s="16" t="s">
        <v>58</v>
      </c>
      <c r="S271" s="16"/>
    </row>
    <row r="272" spans="1:19" ht="20.100000000000001" customHeight="1" x14ac:dyDescent="0.15">
      <c r="A272" s="16">
        <v>267</v>
      </c>
      <c r="B272" s="16" t="s">
        <v>75</v>
      </c>
      <c r="C272" s="16" t="s">
        <v>42</v>
      </c>
      <c r="D272" s="16" t="s">
        <v>353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>
        <v>250</v>
      </c>
      <c r="R272" s="16" t="s">
        <v>58</v>
      </c>
      <c r="S272" s="16"/>
    </row>
    <row r="273" spans="1:19" ht="20.100000000000001" customHeight="1" x14ac:dyDescent="0.15">
      <c r="A273" s="16">
        <v>268</v>
      </c>
      <c r="B273" s="16" t="s">
        <v>75</v>
      </c>
      <c r="C273" s="16" t="s">
        <v>42</v>
      </c>
      <c r="D273" s="16" t="s">
        <v>354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>
        <v>250</v>
      </c>
      <c r="R273" s="16" t="s">
        <v>59</v>
      </c>
      <c r="S273" s="16" t="s">
        <v>355</v>
      </c>
    </row>
    <row r="274" spans="1:19" ht="20.100000000000001" customHeight="1" x14ac:dyDescent="0.15">
      <c r="A274" s="16">
        <v>269</v>
      </c>
      <c r="B274" s="16" t="s">
        <v>75</v>
      </c>
      <c r="C274" s="16" t="s">
        <v>42</v>
      </c>
      <c r="D274" s="16" t="s">
        <v>356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>
        <v>250</v>
      </c>
      <c r="R274" s="16" t="s">
        <v>56</v>
      </c>
      <c r="S274" s="16"/>
    </row>
    <row r="275" spans="1:19" ht="20.100000000000001" customHeight="1" x14ac:dyDescent="0.15">
      <c r="A275" s="16">
        <v>270</v>
      </c>
      <c r="B275" s="16" t="s">
        <v>41</v>
      </c>
      <c r="C275" s="16" t="s">
        <v>42</v>
      </c>
      <c r="D275" s="16" t="s">
        <v>43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>
        <v>250</v>
      </c>
      <c r="R275" s="16" t="s">
        <v>44</v>
      </c>
      <c r="S275" s="16"/>
    </row>
    <row r="276" spans="1:19" ht="20.100000000000001" customHeight="1" x14ac:dyDescent="0.15">
      <c r="A276" s="16">
        <v>271</v>
      </c>
      <c r="B276" s="16" t="s">
        <v>41</v>
      </c>
      <c r="C276" s="16" t="s">
        <v>42</v>
      </c>
      <c r="D276" s="16" t="s">
        <v>45</v>
      </c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>
        <v>250</v>
      </c>
      <c r="R276" s="16" t="s">
        <v>46</v>
      </c>
      <c r="S276" s="16"/>
    </row>
    <row r="277" spans="1:19" ht="20.100000000000001" customHeight="1" x14ac:dyDescent="0.15">
      <c r="A277" s="16">
        <v>272</v>
      </c>
      <c r="B277" s="16" t="s">
        <v>69</v>
      </c>
      <c r="C277" s="16" t="s">
        <v>42</v>
      </c>
      <c r="D277" s="16" t="s">
        <v>357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>
        <v>250</v>
      </c>
      <c r="R277" s="16" t="s">
        <v>44</v>
      </c>
      <c r="S277" s="16"/>
    </row>
    <row r="278" spans="1:19" ht="20.100000000000001" customHeight="1" x14ac:dyDescent="0.15">
      <c r="A278" s="16">
        <v>273</v>
      </c>
      <c r="B278" s="16" t="s">
        <v>69</v>
      </c>
      <c r="C278" s="16" t="s">
        <v>42</v>
      </c>
      <c r="D278" s="16" t="s">
        <v>358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>
        <v>250</v>
      </c>
      <c r="R278" s="16" t="s">
        <v>44</v>
      </c>
      <c r="S278" s="16"/>
    </row>
    <row r="279" spans="1:19" ht="20.100000000000001" customHeight="1" x14ac:dyDescent="0.15">
      <c r="A279" s="16">
        <v>274</v>
      </c>
      <c r="B279" s="16" t="s">
        <v>69</v>
      </c>
      <c r="C279" s="16" t="s">
        <v>42</v>
      </c>
      <c r="D279" s="16" t="s">
        <v>359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>
        <v>250</v>
      </c>
      <c r="R279" s="16" t="s">
        <v>56</v>
      </c>
      <c r="S279" s="16"/>
    </row>
  </sheetData>
  <sheetProtection formatCells="0" formatColumns="0" formatRows="0" insertHyperlinks="0" autoFilter="0" pivotTables="0"/>
  <mergeCells count="8">
    <mergeCell ref="A1:R1"/>
    <mergeCell ref="A2:S2"/>
    <mergeCell ref="B3:C3"/>
    <mergeCell ref="D3:J3"/>
    <mergeCell ref="K3:N3"/>
    <mergeCell ref="O3:Q3"/>
    <mergeCell ref="A3:A5"/>
    <mergeCell ref="S4:S5"/>
  </mergeCells>
  <phoneticPr fontId="3" type="noConversion"/>
  <dataValidations count="2">
    <dataValidation type="list" allowBlank="1" showInputMessage="1" showErrorMessage="1" sqref="B6:B7" xr:uid="{00000000-0002-0000-0000-000001000000}">
      <formula1>学校名称</formula1>
    </dataValidation>
    <dataValidation type="list" allowBlank="1" showInputMessage="1" showErrorMessage="1" sqref="R6:R7" xr:uid="{00000000-0002-0000-0000-000002000000}">
      <formula1>困难类型</formula1>
    </dataValidation>
  </dataValidations>
  <printOptions horizontalCentered="1"/>
  <pageMargins left="0.25" right="0.25" top="0.75" bottom="0.75" header="0.3" footer="0.3"/>
  <pageSetup paperSize="9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R13" sqref="R13"/>
    </sheetView>
  </sheetViews>
  <sheetFormatPr defaultColWidth="9" defaultRowHeight="13.5" x14ac:dyDescent="0.15"/>
  <cols>
    <col min="1" max="1" width="13.875" customWidth="1"/>
    <col min="2" max="15" width="7.125" customWidth="1"/>
  </cols>
  <sheetData>
    <row r="1" spans="1:16" ht="22.5" x14ac:dyDescent="0.15">
      <c r="A1" s="34" t="s">
        <v>361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s="1" customFormat="1" ht="76.5" customHeight="1" x14ac:dyDescent="0.15">
      <c r="A2" s="2" t="s">
        <v>8</v>
      </c>
      <c r="B2" s="2" t="s">
        <v>47</v>
      </c>
      <c r="C2" s="2" t="s">
        <v>46</v>
      </c>
      <c r="D2" s="2" t="s">
        <v>48</v>
      </c>
      <c r="E2" s="2" t="s">
        <v>49</v>
      </c>
      <c r="F2" s="2" t="s">
        <v>50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44</v>
      </c>
      <c r="M2" s="2" t="s">
        <v>56</v>
      </c>
      <c r="N2" s="2" t="s">
        <v>57</v>
      </c>
      <c r="O2" s="2" t="s">
        <v>58</v>
      </c>
      <c r="P2" s="2" t="s">
        <v>59</v>
      </c>
    </row>
    <row r="3" spans="1:16" ht="18" customHeight="1" x14ac:dyDescent="0.15">
      <c r="A3" s="3" t="s">
        <v>60</v>
      </c>
      <c r="B3" s="4">
        <f>SUM(B4:B22)</f>
        <v>274</v>
      </c>
      <c r="C3" s="4">
        <f t="shared" ref="C3:O3" si="0">SUM(C4:C22)</f>
        <v>91</v>
      </c>
      <c r="D3" s="4">
        <f t="shared" si="0"/>
        <v>1</v>
      </c>
      <c r="E3" s="4">
        <f t="shared" si="0"/>
        <v>0</v>
      </c>
      <c r="F3" s="4">
        <f t="shared" si="0"/>
        <v>0</v>
      </c>
      <c r="G3" s="4">
        <f t="shared" si="0"/>
        <v>10</v>
      </c>
      <c r="H3" s="4">
        <f t="shared" si="0"/>
        <v>9</v>
      </c>
      <c r="I3" s="4">
        <f t="shared" si="0"/>
        <v>52</v>
      </c>
      <c r="J3" s="4">
        <f t="shared" si="0"/>
        <v>0</v>
      </c>
      <c r="K3" s="4">
        <f t="shared" si="0"/>
        <v>0</v>
      </c>
      <c r="L3" s="4">
        <f t="shared" si="0"/>
        <v>31</v>
      </c>
      <c r="M3" s="4">
        <f t="shared" si="0"/>
        <v>16</v>
      </c>
      <c r="N3" s="4">
        <f t="shared" si="0"/>
        <v>6</v>
      </c>
      <c r="O3" s="4">
        <f t="shared" si="0"/>
        <v>51</v>
      </c>
      <c r="P3" s="4">
        <f t="shared" ref="P3" si="1">SUM(P4:P22)</f>
        <v>7</v>
      </c>
    </row>
    <row r="4" spans="1:16" ht="18" customHeight="1" x14ac:dyDescent="0.15">
      <c r="A4" s="5" t="s">
        <v>61</v>
      </c>
      <c r="B4" s="6">
        <f>C4+D4+E4+F4+G4+H4+I4+J4+K4+L4+M4+N4+O4+P4</f>
        <v>26</v>
      </c>
      <c r="C4" s="6">
        <f>COUNTIFS(名单表!B6:B562,"夏理逊小学",名单表!R6:R562,"脱贫家庭学生")</f>
        <v>10</v>
      </c>
      <c r="D4" s="6">
        <f>COUNTIFS(名单表!B6:B562,"夏理逊小学",名单表!R6:R562,"脱贫不稳定家庭学生")</f>
        <v>0</v>
      </c>
      <c r="E4" s="6">
        <f>COUNTIFS(名单表!B6:B562,"夏理逊小学",名单表!R6:R562,"风险未消除家庭学生")</f>
        <v>0</v>
      </c>
      <c r="F4" s="6">
        <f>COUNTIFS(名单表!B6:B562,"夏理逊小学",名单表!R6:R562,"边缘易致贫家庭学生")</f>
        <v>0</v>
      </c>
      <c r="G4" s="6">
        <f>COUNTIFS(名单表!B6:B562,"夏理逊小学",名单表!R6:R562,"突发严重困难家庭学生")</f>
        <v>3</v>
      </c>
      <c r="H4" s="6">
        <f>COUNTIFS(名单表!B6:B562,"夏理逊小学",名单表!R6:R562,"城乡低保学生")</f>
        <v>0</v>
      </c>
      <c r="I4" s="6">
        <f>COUNTIFS(名单表!B6:B562,"夏理逊小学",名单表!R6:R562,"城乡低保家庭学生")</f>
        <v>8</v>
      </c>
      <c r="J4" s="6">
        <f>COUNTIFS(名单表!B6:B562,"夏理逊小学",名单表!R6:R562,"特困救助学生")</f>
        <v>0</v>
      </c>
      <c r="K4" s="6">
        <f>COUNTIFS(名单表!B6:B562,"夏理逊小学",名单表!R6:R562,"孤儿学生")</f>
        <v>0</v>
      </c>
      <c r="L4" s="6">
        <f>COUNTIFS(名单表!B6:B562,"夏理逊小学",名单表!R6:R562,"残疾学生")</f>
        <v>0</v>
      </c>
      <c r="M4" s="6">
        <f>COUNTIFS(名单表!B6:B562,"夏理逊小学",名单表!R6:R562,"残疾人子女学生")</f>
        <v>3</v>
      </c>
      <c r="N4" s="6">
        <f>COUNTIFS(名单表!B6:B562,"夏理逊小学",名单表!R6:R562,"事实无人抚养学生")</f>
        <v>0</v>
      </c>
      <c r="O4" s="6">
        <f>COUNTIFS(名单表!B6:B562,"夏理逊小学",名单表!R6:R562,"经济困难单亲家庭学生")</f>
        <v>2</v>
      </c>
      <c r="P4" s="6">
        <f>COUNTIFS(名单表!B6:B562,"夏理逊小学",名单表!R6:R562,"其他家庭经济困难")</f>
        <v>0</v>
      </c>
    </row>
    <row r="5" spans="1:16" ht="18" customHeight="1" x14ac:dyDescent="0.15">
      <c r="A5" s="5" t="s">
        <v>62</v>
      </c>
      <c r="B5" s="6">
        <f t="shared" ref="B5:B22" si="2">C5+D5+E5+F5+G5+H5+I5+J5+K5+L5+M5+N5+O5+P5</f>
        <v>42</v>
      </c>
      <c r="C5" s="7">
        <f>COUNTIFS(名单表!B6:B562,"中山路第一小学",名单表!R6:R562,"脱贫家庭学生")</f>
        <v>11</v>
      </c>
      <c r="D5" s="7">
        <f>COUNTIFS(名单表!B6:B562,"中山路第一小学",名单表!R6:R562,"脱贫不稳定家庭学生")</f>
        <v>0</v>
      </c>
      <c r="E5" s="7">
        <f>COUNTIFS(名单表!B6:B562,"中山路第一小学",名单表!R6:R562,"风险未消除家庭学生")</f>
        <v>0</v>
      </c>
      <c r="F5" s="7">
        <f>COUNTIFS(名单表!B6:B562,"中山路第一小学",名单表!R6:R562,"边缘易致贫家庭学生")</f>
        <v>0</v>
      </c>
      <c r="G5" s="7">
        <f>COUNTIFS(名单表!B6:B562,"中山路第一小学",名单表!R6:R562,"突发严重困难家庭学生")</f>
        <v>2</v>
      </c>
      <c r="H5" s="7">
        <f>COUNTIFS(名单表!B6:B562,"中山路第一小学",名单表!R6:R562,"城乡低保学生")</f>
        <v>0</v>
      </c>
      <c r="I5" s="7">
        <f>COUNTIFS(名单表!B6:B562,"中山路第一小学",名单表!R6:R562,"城乡低保家庭学生")</f>
        <v>17</v>
      </c>
      <c r="J5" s="7">
        <f>COUNTIFS(名单表!B6:B562,"中山路第一小学",名单表!R6:R562,"特困救助学生")</f>
        <v>0</v>
      </c>
      <c r="K5" s="7">
        <f>COUNTIFS(名单表!B6:B562,"中山路第一小学",名单表!R6:R562,"孤儿学生")</f>
        <v>0</v>
      </c>
      <c r="L5" s="7">
        <f>COUNTIFS(名单表!B6:B562,"中山路第一小学",名单表!R6:R562,"残疾学生")</f>
        <v>1</v>
      </c>
      <c r="M5" s="7">
        <f>COUNTIFS(名单表!B6:B562,"中山路第一小学",名单表!R6:R562,"残疾人子女学生")</f>
        <v>5</v>
      </c>
      <c r="N5" s="7">
        <f>COUNTIFS(名单表!B6:B562,"中山路第一小学",名单表!R6:R562,"事实无人抚养学生")</f>
        <v>0</v>
      </c>
      <c r="O5" s="7">
        <f>COUNTIFS(名单表!B6:B562,"中山路第一小学",名单表!R6:R562,"经济困难单亲家庭学生")</f>
        <v>6</v>
      </c>
      <c r="P5" s="7">
        <f>COUNTIFS(名单表!B6:B562,"中山路第一小学",名单表!R6:R562,"其他家庭经济困难")</f>
        <v>0</v>
      </c>
    </row>
    <row r="6" spans="1:16" ht="18" customHeight="1" x14ac:dyDescent="0.15">
      <c r="A6" s="5" t="s">
        <v>63</v>
      </c>
      <c r="B6" s="6">
        <f t="shared" si="2"/>
        <v>24</v>
      </c>
      <c r="C6" s="6">
        <f>COUNTIFS(名单表!B6:B562,"开高附小",名单表!R6:R562,"脱贫家庭学生")</f>
        <v>11</v>
      </c>
      <c r="D6" s="6">
        <f>COUNTIFS(名单表!B6:B562,"开高附小",名单表!R6:R562,"脱贫不稳定家庭学生")</f>
        <v>0</v>
      </c>
      <c r="E6" s="6">
        <f>COUNTIFS(名单表!B6:B562,"开高附小",名单表!R6:R562,"风险未消除家庭学生")</f>
        <v>0</v>
      </c>
      <c r="F6" s="6">
        <f>COUNTIFS(名单表!B6:B562,"开高附小",名单表!R6:R562,"边缘易致贫家庭学生")</f>
        <v>0</v>
      </c>
      <c r="G6" s="6">
        <f>COUNTIFS(名单表!B6:B562,"开高附小",名单表!R6:R562,"突发严重困难家庭学生")</f>
        <v>2</v>
      </c>
      <c r="H6" s="6">
        <f>COUNTIFS(名单表!B6:B562,"开高附小",名单表!R6:R562,"城乡低保学生")</f>
        <v>0</v>
      </c>
      <c r="I6" s="6">
        <f>COUNTIFS(名单表!B6:B562,"开高附小",名单表!R6:R562,"城乡低保家庭学生")</f>
        <v>5</v>
      </c>
      <c r="J6" s="6">
        <f>COUNTIFS(名单表!B6:B562,"开高附小",名单表!R6:R562,"特困救助学生")</f>
        <v>0</v>
      </c>
      <c r="K6" s="6">
        <f>COUNTIFS(名单表!B6:B562,"开高附小",名单表!R6:R562,"孤儿学生")</f>
        <v>0</v>
      </c>
      <c r="L6" s="6">
        <f>COUNTIFS(名单表!B6:B562,"开高附小",名单表!R6:R562,"残疾学生")</f>
        <v>3</v>
      </c>
      <c r="M6" s="6">
        <f>COUNTIFS(名单表!B6:B562,"开高附小",名单表!R6:R562,"残疾人子女学生")</f>
        <v>2</v>
      </c>
      <c r="N6" s="6">
        <f>COUNTIFS(名单表!B6:B562,"开高附小",名单表!R6:R562,"事实无人抚养学生")</f>
        <v>0</v>
      </c>
      <c r="O6" s="6">
        <f>COUNTIFS(名单表!B6:B562,"开高附小",名单表!R6:R562,"经济困难单亲家庭学生")</f>
        <v>1</v>
      </c>
      <c r="P6" s="6">
        <f>COUNTIFS(名单表!B6:B562,"开高附小",名单表!R6:R562,"其他家庭经济困难")</f>
        <v>0</v>
      </c>
    </row>
    <row r="7" spans="1:16" ht="18" customHeight="1" x14ac:dyDescent="0.15">
      <c r="A7" s="5" t="s">
        <v>64</v>
      </c>
      <c r="B7" s="6">
        <f t="shared" si="2"/>
        <v>30</v>
      </c>
      <c r="C7" s="7">
        <f>COUNTIFS(名单表!B6:B562,"五一路一小",名单表!R6:R562,"脱贫家庭学生")</f>
        <v>19</v>
      </c>
      <c r="D7" s="7">
        <f>COUNTIFS(名单表!B6:B562,"五一路一小",名单表!R6:R562,"脱贫不稳定家庭学生")</f>
        <v>1</v>
      </c>
      <c r="E7" s="7">
        <f>COUNTIFS(名单表!B6:B562,"五一路一小",名单表!R6:R562,"风险未消除家庭学生")</f>
        <v>0</v>
      </c>
      <c r="F7" s="7">
        <f>COUNTIFS(名单表!B6:B562,"五一路一小",名单表!R6:R562,"边缘易致贫家庭学生")</f>
        <v>0</v>
      </c>
      <c r="G7" s="7">
        <f>COUNTIFS(名单表!B6:B562,"五一路一小",名单表!R6:R562,"突发严重困难家庭学生")</f>
        <v>0</v>
      </c>
      <c r="H7" s="7">
        <f>COUNTIFS(名单表!B6:B562,"五一路一小",名单表!R6:R562,"城乡低保学生")</f>
        <v>3</v>
      </c>
      <c r="I7" s="7">
        <f>COUNTIFS(名单表!B6:B562,"五一路一小",名单表!R6:R562,"城乡低保家庭学生")</f>
        <v>1</v>
      </c>
      <c r="J7" s="7">
        <f>COUNTIFS(名单表!B6:B562,"五一路一小",名单表!R6:R562,"特困救助学生")</f>
        <v>0</v>
      </c>
      <c r="K7" s="7">
        <f>COUNTIFS(名单表!B6:B562,"五一路一小",名单表!R6:R562,"孤儿学生")</f>
        <v>0</v>
      </c>
      <c r="L7" s="7">
        <f>COUNTIFS(名单表!B6:B562,"五一路一小",名单表!R6:R562,"残疾学生")</f>
        <v>0</v>
      </c>
      <c r="M7" s="7">
        <f>COUNTIFS(名单表!B6:B562,"五一路一小",名单表!R6:R562,"残疾人子女学生")</f>
        <v>2</v>
      </c>
      <c r="N7" s="7">
        <f>COUNTIFS(名单表!B6:B562,"五一路一小",名单表!R6:R562,"事实无人抚养学生")</f>
        <v>0</v>
      </c>
      <c r="O7" s="7">
        <f>COUNTIFS(名单表!B6:B562,"五一路一小",名单表!R6:R562,"经济困难单亲家庭学生")</f>
        <v>4</v>
      </c>
      <c r="P7" s="7">
        <f>COUNTIFS(名单表!B6:B562,"五一路一小",名单表!R6:R562,"其他家庭经济困难")</f>
        <v>0</v>
      </c>
    </row>
    <row r="8" spans="1:16" ht="18" customHeight="1" x14ac:dyDescent="0.15">
      <c r="A8" s="5" t="s">
        <v>65</v>
      </c>
      <c r="B8" s="6">
        <f t="shared" si="2"/>
        <v>11</v>
      </c>
      <c r="C8" s="6">
        <f>COUNTIFS(名单表!B6:B562,"禹王台小学",名单表!R6:R562,"脱贫家庭学生")</f>
        <v>6</v>
      </c>
      <c r="D8" s="6">
        <f>COUNTIFS(名单表!B6:B562,"禹王台小学",名单表!R6:R562,"脱贫不稳定家庭学生")</f>
        <v>0</v>
      </c>
      <c r="E8" s="6">
        <f>COUNTIFS(名单表!B6:B562,"禹王台小学",名单表!R6:R562,"风险未消除家庭学生")</f>
        <v>0</v>
      </c>
      <c r="F8" s="6">
        <f>COUNTIFS(名单表!B6:B562,"禹王台小学",名单表!R6:R562,"边缘易致贫家庭学生")</f>
        <v>0</v>
      </c>
      <c r="G8" s="6">
        <f>COUNTIFS(名单表!B6:B562,"禹王台小学",名单表!R6:R562,"突发严重困难家庭学生")</f>
        <v>1</v>
      </c>
      <c r="H8" s="6">
        <f>COUNTIFS(名单表!B6:B562,"禹王台小学",名单表!R6:R562,"城乡低保学生")</f>
        <v>0</v>
      </c>
      <c r="I8" s="6">
        <f>COUNTIFS(名单表!B6:B562,"禹王台小学",名单表!R6:R562,"城乡低保家庭学生")</f>
        <v>3</v>
      </c>
      <c r="J8" s="6">
        <f>COUNTIFS(名单表!B6:B562,"禹王台小学",名单表!R6:R562,"特困救助学生")</f>
        <v>0</v>
      </c>
      <c r="K8" s="6">
        <f>COUNTIFS(名单表!B6:B562,"禹王台小学",名单表!R6:R562,"孤儿学生")</f>
        <v>0</v>
      </c>
      <c r="L8" s="6">
        <f>COUNTIFS(名单表!B6:B562,"禹王台小学",名单表!R6:R562,"残疾学生")</f>
        <v>0</v>
      </c>
      <c r="M8" s="6">
        <f>COUNTIFS(名单表!B6:B562,"禹王台小学",名单表!R6:R562,"残疾人子女学生")</f>
        <v>0</v>
      </c>
      <c r="N8" s="6">
        <f>COUNTIFS(名单表!B6:B562,"禹王台小学",名单表!R6:R562,"事实无人抚养学生")</f>
        <v>0</v>
      </c>
      <c r="O8" s="6">
        <f>COUNTIFS(名单表!B6:B562,"禹王台小学",名单表!R6:R562,"经济困难单亲家庭学生")</f>
        <v>1</v>
      </c>
      <c r="P8" s="6">
        <f>COUNTIFS(名单表!B6:B562,"禹王台小学",名单表!R6:R562,"其他家庭经济困难")</f>
        <v>0</v>
      </c>
    </row>
    <row r="9" spans="1:16" ht="18" customHeight="1" x14ac:dyDescent="0.15">
      <c r="A9" s="5" t="s">
        <v>66</v>
      </c>
      <c r="B9" s="6">
        <f t="shared" si="2"/>
        <v>8</v>
      </c>
      <c r="C9" s="7">
        <f>COUNTIFS(名单表!B6:B562,"扶轮小学",名单表!R6:R562,"脱贫家庭学生")</f>
        <v>5</v>
      </c>
      <c r="D9" s="7">
        <f>COUNTIFS(名单表!B6:B562,"扶轮小学",名单表!R6:R562,"脱贫不稳定家庭学生")</f>
        <v>0</v>
      </c>
      <c r="E9" s="7">
        <f>COUNTIFS(名单表!B6:B562,"扶轮小学",名单表!R6:R562,"风险未消除家庭学生")</f>
        <v>0</v>
      </c>
      <c r="F9" s="7">
        <f>COUNTIFS(名单表!B6:B562,"扶轮小学",名单表!R6:R562,"边缘易致贫家庭学生")</f>
        <v>0</v>
      </c>
      <c r="G9" s="7">
        <f>COUNTIFS(名单表!B6:B562,"扶轮小学",名单表!R6:R562,"突发严重困难家庭学生")</f>
        <v>1</v>
      </c>
      <c r="H9" s="7">
        <f>COUNTIFS(名单表!B6:B562,"扶轮小学",名单表!R6:R562,"城乡低保学生")</f>
        <v>0</v>
      </c>
      <c r="I9" s="7">
        <f>COUNTIFS(名单表!B6:B562,"扶轮小学",名单表!R6:R562,"城乡低保家庭学生")</f>
        <v>2</v>
      </c>
      <c r="J9" s="7">
        <f>COUNTIFS(名单表!B6:B562,"扶轮小学",名单表!R6:R562,"特困救助学生")</f>
        <v>0</v>
      </c>
      <c r="K9" s="7">
        <f>COUNTIFS(名单表!B6:B562,"扶轮小学",名单表!R6:R562,"孤儿学生")</f>
        <v>0</v>
      </c>
      <c r="L9" s="7">
        <f>COUNTIFS(名单表!B6:B562,"扶轮小学",名单表!R6:R562,"残疾学生")</f>
        <v>0</v>
      </c>
      <c r="M9" s="7">
        <f>COUNTIFS(名单表!B6:B562,"扶轮小学",名单表!R6:R562,"残疾人子女学生")</f>
        <v>0</v>
      </c>
      <c r="N9" s="7">
        <f>COUNTIFS(名单表!B6:B562,"扶轮小学",名单表!R6:R562,"事实无人抚养学生")</f>
        <v>0</v>
      </c>
      <c r="O9" s="7">
        <f>COUNTIFS(名单表!B6:B562,"扶轮小学",名单表!R6:R562,"经济困难单亲家庭学生")</f>
        <v>0</v>
      </c>
      <c r="P9" s="7">
        <f>COUNTIFS(名单表!B6:B562,"扶轮小学",名单表!R6:R562,"其他家庭经济困难")</f>
        <v>0</v>
      </c>
    </row>
    <row r="10" spans="1:16" ht="18" customHeight="1" x14ac:dyDescent="0.15">
      <c r="A10" s="5" t="s">
        <v>67</v>
      </c>
      <c r="B10" s="6">
        <f t="shared" si="2"/>
        <v>12</v>
      </c>
      <c r="C10" s="6">
        <f>COUNTIFS(名单表!B6:B562,"伞塔小学",名单表!R6:R562,"脱贫家庭学生")</f>
        <v>4</v>
      </c>
      <c r="D10" s="6">
        <f>COUNTIFS(名单表!B6:B562,"伞塔小学",名单表!R6:R562,"脱贫不稳定家庭学生")</f>
        <v>0</v>
      </c>
      <c r="E10" s="6">
        <f>COUNTIFS(名单表!B6:B562,"伞塔小学",名单表!R6:R562,"风险未消除家庭学生")</f>
        <v>0</v>
      </c>
      <c r="F10" s="6">
        <f>COUNTIFS(名单表!B6:B562,"伞塔小学",名单表!R6:R562,"边缘易致贫家庭学生")</f>
        <v>0</v>
      </c>
      <c r="G10" s="6">
        <f>COUNTIFS(名单表!B6:B562,"伞塔小学",名单表!R6:R562,"突发严重困难家庭学生")</f>
        <v>0</v>
      </c>
      <c r="H10" s="6">
        <f>COUNTIFS(名单表!B6:B562,"伞塔小学",名单表!R6:R562,"城乡低保学生")</f>
        <v>0</v>
      </c>
      <c r="I10" s="6">
        <f>COUNTIFS(名单表!B6:B562,"伞塔小学",名单表!R6:R562,"城乡低保家庭学生")</f>
        <v>1</v>
      </c>
      <c r="J10" s="6">
        <f>COUNTIFS(名单表!B6:B562,"伞塔小学",名单表!R6:R562,"特困救助学生")</f>
        <v>0</v>
      </c>
      <c r="K10" s="6">
        <f>COUNTIFS(名单表!B6:B562,"伞塔小学",名单表!R6:R562,"孤儿学生")</f>
        <v>0</v>
      </c>
      <c r="L10" s="6">
        <f>COUNTIFS(名单表!B6:B562,"伞塔小学",名单表!R6:R562,"残疾学生")</f>
        <v>7</v>
      </c>
      <c r="M10" s="6">
        <f>COUNTIFS(名单表!B6:B562,"伞塔小学",名单表!R6:R562,"残疾人子女学生")</f>
        <v>0</v>
      </c>
      <c r="N10" s="6">
        <f>COUNTIFS(名单表!B6:B562,"伞塔小学",名单表!R6:R562,"事实无人抚养学生")</f>
        <v>0</v>
      </c>
      <c r="O10" s="6">
        <f>COUNTIFS(名单表!B6:B562,"伞塔小学",名单表!R6:R562,"经济困难单亲家庭学生")</f>
        <v>0</v>
      </c>
      <c r="P10" s="6">
        <f>COUNTIFS(名单表!B6:B562,"伞塔小学",名单表!R6:R562,"其他家庭经济困难")</f>
        <v>0</v>
      </c>
    </row>
    <row r="11" spans="1:16" ht="18" customHeight="1" x14ac:dyDescent="0.15">
      <c r="A11" s="5" t="s">
        <v>68</v>
      </c>
      <c r="B11" s="6">
        <f t="shared" si="2"/>
        <v>8</v>
      </c>
      <c r="C11" s="7">
        <f>COUNTIFS(名单表!B6:B562,"华夏小学",名单表!R6:R562,"脱贫家庭学生")</f>
        <v>1</v>
      </c>
      <c r="D11" s="7">
        <f>COUNTIFS(名单表!B6:B562,"华夏小学",名单表!R6:R562,"脱贫不稳定家庭学生")</f>
        <v>0</v>
      </c>
      <c r="E11" s="7">
        <f>COUNTIFS(名单表!B6:B562,"华夏小学",名单表!R6:R562,"风险未消除家庭学生")</f>
        <v>0</v>
      </c>
      <c r="F11" s="7">
        <f>COUNTIFS(名单表!B6:B562,"华夏小学",名单表!R6:R562,"边缘易致贫家庭学生")</f>
        <v>0</v>
      </c>
      <c r="G11" s="7">
        <f>COUNTIFS(名单表!B6:B562,"华夏小学",名单表!R6:R562,"突发严重困难家庭学生")</f>
        <v>0</v>
      </c>
      <c r="H11" s="7">
        <f>COUNTIFS(名单表!B6:B562,"华夏小学",名单表!R6:R562,"城乡低保学生")</f>
        <v>1</v>
      </c>
      <c r="I11" s="7">
        <f>COUNTIFS(名单表!B6:B562,"华夏小学",名单表!R6:R562,"城乡低保家庭学生")</f>
        <v>1</v>
      </c>
      <c r="J11" s="7">
        <f>COUNTIFS(名单表!B6:B562,"华夏小学",名单表!R6:R562,"特困救助学生")</f>
        <v>0</v>
      </c>
      <c r="K11" s="7">
        <f>COUNTIFS(名单表!B6:B562,"华夏小学",名单表!R6:R562,"孤儿学生")</f>
        <v>0</v>
      </c>
      <c r="L11" s="7">
        <f>COUNTIFS(名单表!B6:B562,"华夏小学",名单表!R6:R562,"残疾学生")</f>
        <v>1</v>
      </c>
      <c r="M11" s="7">
        <f>COUNTIFS(名单表!B6:B562,"华夏小学",名单表!R6:R562,"残疾人子女学生")</f>
        <v>1</v>
      </c>
      <c r="N11" s="7">
        <f>COUNTIFS(名单表!B6:B562,"华夏小学",名单表!R6:R562,"事实无人抚养学生")</f>
        <v>2</v>
      </c>
      <c r="O11" s="7">
        <f>COUNTIFS(名单表!B6:B562,"华夏小学",名单表!R6:R562,"经济困难单亲家庭学生")</f>
        <v>0</v>
      </c>
      <c r="P11" s="7">
        <f>COUNTIFS(名单表!B6:B562,"华夏小学",名单表!R6:R562,"其他家庭经济困难")</f>
        <v>1</v>
      </c>
    </row>
    <row r="12" spans="1:16" ht="18" customHeight="1" x14ac:dyDescent="0.15">
      <c r="A12" s="5" t="s">
        <v>69</v>
      </c>
      <c r="B12" s="6">
        <f t="shared" si="2"/>
        <v>3</v>
      </c>
      <c r="C12" s="6">
        <f>COUNTIFS(名单表!B6:B562,"杨庄小学",名单表!R6:R562,"脱贫家庭学生")</f>
        <v>0</v>
      </c>
      <c r="D12" s="6">
        <f>COUNTIFS(名单表!B6:B562,"杨庄小学",名单表!R6:R562,"脱贫不稳定家庭学生")</f>
        <v>0</v>
      </c>
      <c r="E12" s="6">
        <f>COUNTIFS(名单表!B6:B562,"杨庄小学",名单表!R6:R562,"风险未消除家庭学生")</f>
        <v>0</v>
      </c>
      <c r="F12" s="6">
        <f>COUNTIFS(名单表!B6:B562,"杨庄小学",名单表!R6:R562,"边缘易致贫家庭学生")</f>
        <v>0</v>
      </c>
      <c r="G12" s="6">
        <f>COUNTIFS(名单表!B6:B562,"杨庄小学",名单表!R6:R562,"突发严重困难家庭学生")</f>
        <v>0</v>
      </c>
      <c r="H12" s="6">
        <f>COUNTIFS(名单表!B6:B562,"杨庄小学",名单表!R6:R562,"城乡低保学生")</f>
        <v>0</v>
      </c>
      <c r="I12" s="6">
        <f>COUNTIFS(名单表!B6:B562,"杨庄小学",名单表!R6:R562,"城乡低保家庭学生")</f>
        <v>0</v>
      </c>
      <c r="J12" s="6">
        <f>COUNTIFS(名单表!B6:B562,"杨庄小学",名单表!R6:R562,"特困救助学生")</f>
        <v>0</v>
      </c>
      <c r="K12" s="6">
        <f>COUNTIFS(名单表!B6:B562,"杨庄小学",名单表!R6:R562,"孤儿学生")</f>
        <v>0</v>
      </c>
      <c r="L12" s="6">
        <f>COUNTIFS(名单表!B6:B562,"杨庄小学",名单表!R6:R562,"残疾学生")</f>
        <v>2</v>
      </c>
      <c r="M12" s="6">
        <f>COUNTIFS(名单表!B6:B562,"杨庄小学",名单表!R6:R562,"残疾人子女学生")</f>
        <v>1</v>
      </c>
      <c r="N12" s="6">
        <f>COUNTIFS(名单表!B6:B562,"杨庄小学",名单表!R6:R562,"事实无人抚养学生")</f>
        <v>0</v>
      </c>
      <c r="O12" s="6">
        <f>COUNTIFS(名单表!B6:B562,"杨庄小学",名单表!R6:R562,"经济困难单亲家庭学生")</f>
        <v>0</v>
      </c>
      <c r="P12" s="6">
        <f>COUNTIFS(名单表!B6:B562,"杨庄小学",名单表!R6:R562,"其他家庭经济困难")</f>
        <v>0</v>
      </c>
    </row>
    <row r="13" spans="1:16" ht="18" customHeight="1" x14ac:dyDescent="0.15">
      <c r="A13" s="5" t="s">
        <v>70</v>
      </c>
      <c r="B13" s="6">
        <f t="shared" si="2"/>
        <v>0</v>
      </c>
      <c r="C13" s="7">
        <f>COUNTIFS(名单表!B6:B562,"西柳林小学",名单表!R6:R562,"脱贫家庭学生")</f>
        <v>0</v>
      </c>
      <c r="D13" s="7">
        <f>COUNTIFS(名单表!B6:B562,"西柳林小学",名单表!R6:R562,"脱贫不稳定家庭学生")</f>
        <v>0</v>
      </c>
      <c r="E13" s="7">
        <f>COUNTIFS(名单表!B6:B562,"西柳林小学",名单表!R6:R562,"风险未消除家庭学生")</f>
        <v>0</v>
      </c>
      <c r="F13" s="7">
        <f>COUNTIFS(名单表!B6:B562,"西柳林小学",名单表!R6:R562,"边缘易致贫家庭学生")</f>
        <v>0</v>
      </c>
      <c r="G13" s="7">
        <f>COUNTIFS(名单表!B6:B562,"西柳林小学",名单表!R6:R562,"突发严重困难家庭学生")</f>
        <v>0</v>
      </c>
      <c r="H13" s="7">
        <f>COUNTIFS(名单表!B6:B562,"西柳林小学",名单表!R6:R562,"城乡低保学生")</f>
        <v>0</v>
      </c>
      <c r="I13" s="7">
        <f>COUNTIFS(名单表!B6:B562,"西柳林小学",名单表!R6:R562,"城乡低保家庭学生")</f>
        <v>0</v>
      </c>
      <c r="J13" s="7">
        <f>COUNTIFS(名单表!B6:B562,"西柳林小学",名单表!R6:R562,"特困救助学生")</f>
        <v>0</v>
      </c>
      <c r="K13" s="7">
        <f>COUNTIFS(名单表!B6:B562,"西柳林小学",名单表!R6:R562,"孤儿学生")</f>
        <v>0</v>
      </c>
      <c r="L13" s="7">
        <f>COUNTIFS(名单表!B6:B562,"西柳林小学",名单表!R6:R562,"残疾学生")</f>
        <v>0</v>
      </c>
      <c r="M13" s="7">
        <f>COUNTIFS(名单表!B6:B562,"西柳林小学",名单表!R6:R562,"残疾人子女学生")</f>
        <v>0</v>
      </c>
      <c r="N13" s="7">
        <f>COUNTIFS(名单表!B6:B562,"西柳林小学",名单表!R6:R562,"事实无人抚养学生")</f>
        <v>0</v>
      </c>
      <c r="O13" s="7">
        <f>COUNTIFS(名单表!B6:B562,"西柳林小学",名单表!R6:R562,"经济困难单亲家庭学生")</f>
        <v>0</v>
      </c>
      <c r="P13" s="7">
        <f>COUNTIFS(名单表!B6:B562,"西柳林小学",名单表!R6:R562,"其他家庭经济困难")</f>
        <v>0</v>
      </c>
    </row>
    <row r="14" spans="1:16" ht="18" customHeight="1" x14ac:dyDescent="0.15">
      <c r="A14" s="5" t="s">
        <v>71</v>
      </c>
      <c r="B14" s="6">
        <f t="shared" si="2"/>
        <v>9</v>
      </c>
      <c r="C14" s="6">
        <f>COUNTIFS(名单表!B6:B562,"松楼小学",名单表!R6:R562,"脱贫家庭学生")</f>
        <v>1</v>
      </c>
      <c r="D14" s="6">
        <f>COUNTIFS(名单表!B6:B562,"松楼小学",名单表!R6:R562,"脱贫不稳定家庭学生")</f>
        <v>0</v>
      </c>
      <c r="E14" s="6">
        <f>COUNTIFS(名单表!B6:B562,"松楼小学",名单表!R6:R562,"风险未消除家庭学生")</f>
        <v>0</v>
      </c>
      <c r="F14" s="6">
        <f>COUNTIFS(名单表!B6:B562,"松楼小学",名单表!R6:R562,"边缘易致贫家庭学生")</f>
        <v>0</v>
      </c>
      <c r="G14" s="6">
        <f>COUNTIFS(名单表!B6:B562,"松楼小学",名单表!R6:R562,"突发严重困难家庭学生")</f>
        <v>1</v>
      </c>
      <c r="H14" s="6">
        <f>COUNTIFS(名单表!B6:B562,"松楼小学",名单表!R6:R562,"城乡低保学生")</f>
        <v>0</v>
      </c>
      <c r="I14" s="6">
        <f>COUNTIFS(名单表!B6:B562,"松楼小学",名单表!R6:R562,"城乡低保家庭学生")</f>
        <v>2</v>
      </c>
      <c r="J14" s="6">
        <f>COUNTIFS(名单表!B6:B562,"松楼小学",名单表!R6:R562,"特困救助学生")</f>
        <v>0</v>
      </c>
      <c r="K14" s="6">
        <f>COUNTIFS(名单表!B6:B562,"松楼小学",名单表!R6:R562,"孤儿学生")</f>
        <v>0</v>
      </c>
      <c r="L14" s="6">
        <f>COUNTIFS(名单表!B6:B562,"松楼小学",名单表!R6:R562,"残疾学生")</f>
        <v>2</v>
      </c>
      <c r="M14" s="6">
        <f>COUNTIFS(名单表!B6:B562,"松楼小学",名单表!R6:R562,"残疾人子女学生")</f>
        <v>0</v>
      </c>
      <c r="N14" s="6">
        <f>COUNTIFS(名单表!B6:B562,"松楼小学",名单表!R6:R562,"事实无人抚养学生")</f>
        <v>2</v>
      </c>
      <c r="O14" s="6">
        <f>COUNTIFS(名单表!B6:B562,"松楼小学",名单表!R6:R562,"经济困难单亲家庭学生")</f>
        <v>1</v>
      </c>
      <c r="P14" s="6">
        <f>COUNTIFS(名单表!B6:B562,"松楼小学",名单表!R6:R562,"其他家庭经济困难")</f>
        <v>0</v>
      </c>
    </row>
    <row r="15" spans="1:16" ht="18" customHeight="1" x14ac:dyDescent="0.15">
      <c r="A15" s="5" t="s">
        <v>72</v>
      </c>
      <c r="B15" s="6">
        <f t="shared" si="2"/>
        <v>3</v>
      </c>
      <c r="C15" s="7">
        <f>COUNTIFS(名单表!B6:B562,"群力小学",名单表!R6:R562,"脱贫家庭学生")</f>
        <v>0</v>
      </c>
      <c r="D15" s="7">
        <f>COUNTIFS(名单表!B6:B562,"群力小学",名单表!R6:R562,"脱贫不稳定家庭学生")</f>
        <v>0</v>
      </c>
      <c r="E15" s="7">
        <f>COUNTIFS(名单表!B6:B562,"群力小学",名单表!R6:R562,"风险未消除家庭学生")</f>
        <v>0</v>
      </c>
      <c r="F15" s="7">
        <f>COUNTIFS(名单表!B6:B562,"群力小学",名单表!R6:R562,"边缘易致贫家庭学生")</f>
        <v>0</v>
      </c>
      <c r="G15" s="7">
        <f>COUNTIFS(名单表!B6:B562,"群力小学",名单表!R6:R562,"突发严重困难家庭学生")</f>
        <v>0</v>
      </c>
      <c r="H15" s="7">
        <f>COUNTIFS(名单表!B6:B562,"群力小学",名单表!R6:R562,"城乡低保学生")</f>
        <v>0</v>
      </c>
      <c r="I15" s="7">
        <f>COUNTIFS(名单表!B6:B562,"群力小学",名单表!R6:R562,"城乡低保家庭学生")</f>
        <v>0</v>
      </c>
      <c r="J15" s="7">
        <f>COUNTIFS(名单表!B6:B562,"群力小学",名单表!R6:R562,"特困救助学生")</f>
        <v>0</v>
      </c>
      <c r="K15" s="7">
        <f>COUNTIFS(名单表!B6:B562,"群力小学",名单表!R6:R562,"孤儿学生")</f>
        <v>0</v>
      </c>
      <c r="L15" s="7">
        <f>COUNTIFS(名单表!B6:B562,"群力小学",名单表!R6:R562,"残疾学生")</f>
        <v>0</v>
      </c>
      <c r="M15" s="7">
        <f>COUNTIFS(名单表!B6:B562,"群力小学",名单表!R6:R562,"残疾人子女学生")</f>
        <v>0</v>
      </c>
      <c r="N15" s="7">
        <f>COUNTIFS(名单表!B6:B562,"群力小学",名单表!R6:R562,"事实无人抚养学生")</f>
        <v>0</v>
      </c>
      <c r="O15" s="7">
        <f>COUNTIFS(名单表!B6:B562,"群力小学",名单表!R6:R562,"经济困难单亲家庭学生")</f>
        <v>2</v>
      </c>
      <c r="P15" s="7">
        <f>COUNTIFS(名单表!B6:B562,"群力小学",名单表!R6:R562,"其他家庭经济困难")</f>
        <v>1</v>
      </c>
    </row>
    <row r="16" spans="1:16" ht="18" customHeight="1" x14ac:dyDescent="0.15">
      <c r="A16" s="5" t="s">
        <v>41</v>
      </c>
      <c r="B16" s="6">
        <f t="shared" si="2"/>
        <v>2</v>
      </c>
      <c r="C16" s="6">
        <f>COUNTIFS(名单表!B6:B562,"高楼小学",名单表!R6:R562,"脱贫家庭学生")</f>
        <v>1</v>
      </c>
      <c r="D16" s="6">
        <f>COUNTIFS(名单表!B6:B562,"高楼小学",名单表!R6:R562,"脱贫不稳定家庭学生")</f>
        <v>0</v>
      </c>
      <c r="E16" s="6">
        <f>COUNTIFS(名单表!B6:B562,"高楼小学",名单表!R6:R562,"风险未消除家庭学生")</f>
        <v>0</v>
      </c>
      <c r="F16" s="6">
        <f>COUNTIFS(名单表!B6:B562,"高楼小学",名单表!R6:R562,"边缘易致贫家庭学生")</f>
        <v>0</v>
      </c>
      <c r="G16" s="6">
        <f>COUNTIFS(名单表!B6:B562,"高楼小学",名单表!R6:R562,"突发严重困难家庭学生")</f>
        <v>0</v>
      </c>
      <c r="H16" s="6">
        <f>COUNTIFS(名单表!B6:B562,"高楼小学",名单表!R6:R562,"城乡低保学生")</f>
        <v>0</v>
      </c>
      <c r="I16" s="6">
        <f>COUNTIFS(名单表!B6:B562,"高楼小学",名单表!R6:R562,"城乡低保家庭学生")</f>
        <v>0</v>
      </c>
      <c r="J16" s="6">
        <f>COUNTIFS(名单表!B6:B562,"高楼小学",名单表!R6:R562,"特困救助学生")</f>
        <v>0</v>
      </c>
      <c r="K16" s="6">
        <f>COUNTIFS(名单表!B6:B562,"高楼小学",名单表!R6:R562,"孤儿学生")</f>
        <v>0</v>
      </c>
      <c r="L16" s="6">
        <f>COUNTIFS(名单表!B6:B562,"高楼小学",名单表!R6:R562,"残疾学生")</f>
        <v>1</v>
      </c>
      <c r="M16" s="6">
        <f>COUNTIFS(名单表!B6:B562,"高楼小学",名单表!R6:R562,"残疾人子女学生")</f>
        <v>0</v>
      </c>
      <c r="N16" s="6">
        <f>COUNTIFS(名单表!B6:B562,"高楼小学",名单表!R6:R562,"事实无人抚养学生")</f>
        <v>0</v>
      </c>
      <c r="O16" s="6">
        <f>COUNTIFS(名单表!B6:B562,"高楼小学",名单表!R6:R562,"经济困难单亲家庭学生")</f>
        <v>0</v>
      </c>
      <c r="P16" s="6">
        <f>COUNTIFS(名单表!B6:B562,"高楼小学",名单表!R6:R562,"其他家庭经济困难")</f>
        <v>0</v>
      </c>
    </row>
    <row r="17" spans="1:16" ht="18" customHeight="1" x14ac:dyDescent="0.15">
      <c r="A17" s="5" t="s">
        <v>73</v>
      </c>
      <c r="B17" s="6">
        <f t="shared" si="2"/>
        <v>1</v>
      </c>
      <c r="C17" s="7">
        <f>COUNTIFS(名单表!B6:B562,"汪屯小学",名单表!R6:R562,"脱贫家庭学生")</f>
        <v>0</v>
      </c>
      <c r="D17" s="7">
        <f>COUNTIFS(名单表!B6:B562,"汪屯小学",名单表!R6:R562,"脱贫不稳定家庭学生")</f>
        <v>0</v>
      </c>
      <c r="E17" s="7">
        <f>COUNTIFS(名单表!B6:B562,"汪屯小学",名单表!R6:R562,"风险未消除家庭学生")</f>
        <v>0</v>
      </c>
      <c r="F17" s="7">
        <f>COUNTIFS(名单表!B6:B562,"汪屯小学",名单表!R6:R562,"边缘易致贫家庭学生")</f>
        <v>0</v>
      </c>
      <c r="G17" s="7">
        <f>COUNTIFS(名单表!B6:B562,"汪屯小学",名单表!R6:R562,"突发严重困难家庭学生")</f>
        <v>0</v>
      </c>
      <c r="H17" s="7">
        <f>COUNTIFS(名单表!B6:B562,"汪屯小学",名单表!R6:R562,"城乡低保学生")</f>
        <v>1</v>
      </c>
      <c r="I17" s="7">
        <f>COUNTIFS(名单表!B6:B562,"汪屯小学",名单表!R6:R562,"城乡低保家庭学生")</f>
        <v>0</v>
      </c>
      <c r="J17" s="7">
        <f>COUNTIFS(名单表!B6:B562,"汪屯小学",名单表!R6:R562,"特困救助学生")</f>
        <v>0</v>
      </c>
      <c r="K17" s="7">
        <f>COUNTIFS(名单表!B6:B562,"汪屯小学",名单表!R6:R562,"孤儿学生")</f>
        <v>0</v>
      </c>
      <c r="L17" s="7">
        <f>COUNTIFS(名单表!B6:B562,"汪屯小学",名单表!R6:R562,"残疾学生")</f>
        <v>0</v>
      </c>
      <c r="M17" s="7">
        <f>COUNTIFS(名单表!B6:B562,"汪屯小学",名单表!R6:R562,"残疾人子女学生")</f>
        <v>0</v>
      </c>
      <c r="N17" s="7">
        <f>COUNTIFS(名单表!B6:B562,"汪屯小学",名单表!R6:R562,"事实无人抚养学生")</f>
        <v>0</v>
      </c>
      <c r="O17" s="7">
        <f>COUNTIFS(名单表!B6:B562,"汪屯小学",名单表!R6:R562,"经济困难单亲家庭学生")</f>
        <v>0</v>
      </c>
      <c r="P17" s="7">
        <f>COUNTIFS(名单表!B6:B562,"汪屯小学",名单表!R6:R562,"其他家庭经济困难")</f>
        <v>0</v>
      </c>
    </row>
    <row r="18" spans="1:16" ht="18" customHeight="1" x14ac:dyDescent="0.15">
      <c r="A18" s="5" t="s">
        <v>74</v>
      </c>
      <c r="B18" s="6">
        <f t="shared" si="2"/>
        <v>14</v>
      </c>
      <c r="C18" s="6">
        <f>COUNTIFS(名单表!B6:B562,"苏村小学",名单表!R6:R562,"脱贫家庭学生")</f>
        <v>3</v>
      </c>
      <c r="D18" s="6">
        <f>COUNTIFS(名单表!B6:B562,"苏村小学",名单表!R6:R562,"脱贫不稳定家庭学生")</f>
        <v>0</v>
      </c>
      <c r="E18" s="6">
        <f>COUNTIFS(名单表!B6:B562,"苏村小学",名单表!R6:R562,"风险未消除家庭学生")</f>
        <v>0</v>
      </c>
      <c r="F18" s="6">
        <f>COUNTIFS(名单表!B6:B562,"苏村小学",名单表!R6:R562,"边缘易致贫家庭学生")</f>
        <v>0</v>
      </c>
      <c r="G18" s="6">
        <f>COUNTIFS(名单表!B6:B562,"苏村小学",名单表!R6:R562,"突发严重困难家庭学生")</f>
        <v>0</v>
      </c>
      <c r="H18" s="6">
        <f>COUNTIFS(名单表!B6:B562,"苏村小学",名单表!R6:R562,"城乡低保学生")</f>
        <v>2</v>
      </c>
      <c r="I18" s="6">
        <f>COUNTIFS(名单表!B6:B562,"苏村小学",名单表!R6:R562,"城乡低保家庭学生")</f>
        <v>1</v>
      </c>
      <c r="J18" s="6">
        <f>COUNTIFS(名单表!B6:B562,"苏村小学",名单表!R6:R562,"特困救助学生")</f>
        <v>0</v>
      </c>
      <c r="K18" s="6">
        <f>COUNTIFS(名单表!B6:B562,"苏村小学",名单表!R6:R562,"孤儿学生")</f>
        <v>0</v>
      </c>
      <c r="L18" s="6">
        <f>COUNTIFS(名单表!B6:B562,"苏村小学",名单表!R6:R562,"残疾学生")</f>
        <v>1</v>
      </c>
      <c r="M18" s="6">
        <f>COUNTIFS(名单表!B6:B562,"苏村小学",名单表!R6:R562,"残疾人子女学生")</f>
        <v>0</v>
      </c>
      <c r="N18" s="6">
        <f>COUNTIFS(名单表!B6:B562,"苏村小学",名单表!R6:R562,"事实无人抚养学生")</f>
        <v>2</v>
      </c>
      <c r="O18" s="6">
        <f>COUNTIFS(名单表!B6:B562,"苏村小学",名单表!R6:R562,"经济困难单亲家庭学生")</f>
        <v>4</v>
      </c>
      <c r="P18" s="6">
        <f>COUNTIFS(名单表!B6:B562,"苏村小学",名单表!R6:R562,"其他家庭经济困难")</f>
        <v>1</v>
      </c>
    </row>
    <row r="19" spans="1:16" ht="18" customHeight="1" x14ac:dyDescent="0.15">
      <c r="A19" s="5" t="s">
        <v>75</v>
      </c>
      <c r="B19" s="6">
        <f t="shared" si="2"/>
        <v>13</v>
      </c>
      <c r="C19" s="7">
        <f>COUNTIFS(名单表!B6:B562,"马头小学",名单表!R6:R562,"脱贫家庭学生")</f>
        <v>3</v>
      </c>
      <c r="D19" s="7">
        <f>COUNTIFS(名单表!B6:B562,"马头小学",名单表!R6:R562,"脱贫不稳定家庭学生")</f>
        <v>0</v>
      </c>
      <c r="E19" s="7">
        <f>COUNTIFS(名单表!B6:B562,"马头小学",名单表!R6:R562,"风险未消除家庭学生")</f>
        <v>0</v>
      </c>
      <c r="F19" s="7">
        <f>COUNTIFS(名单表!B6:B562,"马头小学",名单表!R6:R562,"边缘易致贫家庭学生")</f>
        <v>0</v>
      </c>
      <c r="G19" s="7">
        <f>COUNTIFS(名单表!B6:B562,"马头小学",名单表!R6:R562,"突发严重困难家庭学生")</f>
        <v>0</v>
      </c>
      <c r="H19" s="7">
        <f>COUNTIFS(名单表!B6:B562,"马头小学",名单表!R6:R562,"城乡低保学生")</f>
        <v>0</v>
      </c>
      <c r="I19" s="7">
        <f>COUNTIFS(名单表!B6:B562,"马头小学",名单表!R6:R562,"城乡低保家庭学生")</f>
        <v>0</v>
      </c>
      <c r="J19" s="7">
        <f>COUNTIFS(名单表!B6:B562,"马头小学",名单表!R6:R562,"特困救助学生")</f>
        <v>0</v>
      </c>
      <c r="K19" s="7">
        <f>COUNTIFS(名单表!B6:B562,"马头小学",名单表!R6:R562,"孤儿学生")</f>
        <v>0</v>
      </c>
      <c r="L19" s="7">
        <f>COUNTIFS(名单表!B6:B562,"马头小学",名单表!R6:R562,"残疾学生")</f>
        <v>2</v>
      </c>
      <c r="M19" s="7">
        <f>COUNTIFS(名单表!B6:B562,"马头小学",名单表!R6:R562,"残疾人子女学生")</f>
        <v>1</v>
      </c>
      <c r="N19" s="7">
        <f>COUNTIFS(名单表!B6:B562,"马头小学",名单表!R6:R562,"事实无人抚养学生")</f>
        <v>0</v>
      </c>
      <c r="O19" s="7">
        <f>COUNTIFS(名单表!B6:B562,"马头小学",名单表!R6:R562,"经济困难单亲家庭学生")</f>
        <v>6</v>
      </c>
      <c r="P19" s="7">
        <f>COUNTIFS(名单表!B6:B562,"马头小学",名单表!R6:R562,"其他家庭经济困难")</f>
        <v>1</v>
      </c>
    </row>
    <row r="20" spans="1:16" ht="18" customHeight="1" x14ac:dyDescent="0.15">
      <c r="A20" s="5" t="s">
        <v>76</v>
      </c>
      <c r="B20" s="6">
        <f t="shared" si="2"/>
        <v>7</v>
      </c>
      <c r="C20" s="6">
        <f>COUNTIFS(名单表!B6:B562,"张庄小学",名单表!R6:R562,"脱贫家庭学生")</f>
        <v>1</v>
      </c>
      <c r="D20" s="6">
        <f>COUNTIFS(名单表!B6:B562,"张庄小学",名单表!R6:R562,"脱贫不稳定家庭学生")</f>
        <v>0</v>
      </c>
      <c r="E20" s="6">
        <f>COUNTIFS(名单表!B6:B562,"张庄小学",名单表!R6:R562,"风险未消除家庭学生")</f>
        <v>0</v>
      </c>
      <c r="F20" s="6">
        <f>COUNTIFS(名单表!B6:B562,"张庄小学",名单表!R6:R562,"边缘易致贫家庭学生")</f>
        <v>0</v>
      </c>
      <c r="G20" s="6">
        <f>COUNTIFS(名单表!B6:B562,"张庄小学",名单表!R6:R562,"突发严重困难家庭学生")</f>
        <v>0</v>
      </c>
      <c r="H20" s="6">
        <f>COUNTIFS(名单表!B6:B562,"张庄小学",名单表!R6:R562,"城乡低保学生")</f>
        <v>2</v>
      </c>
      <c r="I20" s="6">
        <f>COUNTIFS(名单表!B6:B562,"张庄小学",名单表!R6:R562,"城乡低保家庭学生")</f>
        <v>2</v>
      </c>
      <c r="J20" s="6">
        <f>COUNTIFS(名单表!B6:B562,"张庄小学",名单表!R6:R562,"特困救助学生")</f>
        <v>0</v>
      </c>
      <c r="K20" s="6">
        <f>COUNTIFS(名单表!B6:B562,"张庄小学",名单表!R6:R562,"孤儿学生")</f>
        <v>0</v>
      </c>
      <c r="L20" s="6">
        <f>COUNTIFS(名单表!B6:B562,"张庄小学",名单表!R6:R562,"残疾学生")</f>
        <v>2</v>
      </c>
      <c r="M20" s="6">
        <f>COUNTIFS(名单表!B6:B562,"张庄小学",名单表!R6:R562,"残疾人子女学生")</f>
        <v>0</v>
      </c>
      <c r="N20" s="6">
        <f>COUNTIFS(名单表!B6:B562,"张庄小学",名单表!R6:R562,"事实无人抚养学生")</f>
        <v>0</v>
      </c>
      <c r="O20" s="6">
        <f>COUNTIFS(名单表!B6:B562,"张庄小学",名单表!R6:R562,"经济困难单亲家庭学生")</f>
        <v>0</v>
      </c>
      <c r="P20" s="6">
        <f>COUNTIFS(名单表!B6:B562,"张庄小学",名单表!R6:R562,"其他家庭经济困难")</f>
        <v>0</v>
      </c>
    </row>
    <row r="21" spans="1:16" ht="18" customHeight="1" x14ac:dyDescent="0.15">
      <c r="A21" s="5" t="s">
        <v>77</v>
      </c>
      <c r="B21" s="6">
        <f t="shared" si="2"/>
        <v>1</v>
      </c>
      <c r="C21" s="7">
        <f>COUNTIFS(名单表!B6:B562,"李庄小学",名单表!R6:R562,"脱贫家庭学生")</f>
        <v>0</v>
      </c>
      <c r="D21" s="7">
        <f>COUNTIFS(名单表!B6:B562,"李庄小学",名单表!R6:R562,"脱贫不稳定家庭学生")</f>
        <v>0</v>
      </c>
      <c r="E21" s="7">
        <f>COUNTIFS(名单表!B6:B562,"李庄小学",名单表!R6:R562,"风险未消除家庭学生")</f>
        <v>0</v>
      </c>
      <c r="F21" s="7">
        <f>COUNTIFS(名单表!B6:B562,"李庄小学",名单表!R6:R562,"边缘易致贫家庭学生")</f>
        <v>0</v>
      </c>
      <c r="G21" s="7">
        <f>COUNTIFS(名单表!B6:B562,"李庄小学",名单表!R6:R562,"突发严重困难家庭学生")</f>
        <v>0</v>
      </c>
      <c r="H21" s="7">
        <f>COUNTIFS(名单表!B6:B562,"李庄小学",名单表!R6:R562,"城乡低保学生")</f>
        <v>0</v>
      </c>
      <c r="I21" s="7">
        <f>COUNTIFS(名单表!B6:B562,"李庄小学",名单表!R6:R562,"城乡低保家庭学生")</f>
        <v>0</v>
      </c>
      <c r="J21" s="7">
        <f>COUNTIFS(名单表!B6:B562,"李庄小学",名单表!R6:R562,"特困救助学生")</f>
        <v>0</v>
      </c>
      <c r="K21" s="7">
        <f>COUNTIFS(名单表!B6:B562,"李庄小学",名单表!R6:R562,"孤儿学生")</f>
        <v>0</v>
      </c>
      <c r="L21" s="7">
        <f>COUNTIFS(名单表!B6:B562,"李庄小学",名单表!R6:R562,"残疾学生")</f>
        <v>0</v>
      </c>
      <c r="M21" s="7">
        <f>COUNTIFS(名单表!B6:B562,"李庄小学",名单表!R6:R562,"残疾人子女学生")</f>
        <v>0</v>
      </c>
      <c r="N21" s="7">
        <f>COUNTIFS(名单表!B6:B562,"李庄小学",名单表!R6:R562,"事实无人抚养学生")</f>
        <v>0</v>
      </c>
      <c r="O21" s="7">
        <f>COUNTIFS(名单表!B6:B562,"李庄小学",名单表!R6:R562,"经济困难单亲家庭学生")</f>
        <v>1</v>
      </c>
      <c r="P21" s="7">
        <f>COUNTIFS(名单表!B6:B562,"李庄小学",名单表!R6:R562,"其他家庭经济困难")</f>
        <v>0</v>
      </c>
    </row>
    <row r="22" spans="1:16" ht="18" customHeight="1" x14ac:dyDescent="0.15">
      <c r="A22" s="5" t="s">
        <v>78</v>
      </c>
      <c r="B22" s="6">
        <f t="shared" si="2"/>
        <v>60</v>
      </c>
      <c r="C22" s="6">
        <f>COUNTIFS(名单表!B6:B562,"实验中学",名单表!R6:R562,"脱贫家庭学生")</f>
        <v>15</v>
      </c>
      <c r="D22" s="6">
        <f>COUNTIFS(名单表!B6:B562,"实验中学",名单表!R6:R562,"脱贫不稳定家庭学生")</f>
        <v>0</v>
      </c>
      <c r="E22" s="6">
        <f>COUNTIFS(名单表!B6:B562,"实验中学",名单表!R6:R562,"风险未消除家庭学生")</f>
        <v>0</v>
      </c>
      <c r="F22" s="6">
        <f>COUNTIFS(名单表!B6:B562,"实验中学",名单表!R6:R562,"边缘易致贫家庭学生")</f>
        <v>0</v>
      </c>
      <c r="G22" s="6">
        <f>COUNTIFS(名单表!B6:B562,"实验中学",名单表!R6:R562,"突发严重困难家庭学生")</f>
        <v>0</v>
      </c>
      <c r="H22" s="6">
        <f>COUNTIFS(名单表!B6:B562,"实验中学",名单表!R6:R562,"城乡低保学生")</f>
        <v>0</v>
      </c>
      <c r="I22" s="6">
        <f>COUNTIFS(名单表!B6:B562,"实验中学",名单表!R6:R562,"城乡低保家庭学生")</f>
        <v>9</v>
      </c>
      <c r="J22" s="6">
        <f>COUNTIFS(名单表!B6:B562,"实验中学",名单表!R6:R562,"特困救助学生")</f>
        <v>0</v>
      </c>
      <c r="K22" s="6">
        <f>COUNTIFS(名单表!B6:B562,"实验中学",名单表!R6:R562,"孤儿学生")</f>
        <v>0</v>
      </c>
      <c r="L22" s="6">
        <f>COUNTIFS(名单表!B6:B562,"实验中学",名单表!R6:R562,"残疾学生")</f>
        <v>9</v>
      </c>
      <c r="M22" s="6">
        <f>COUNTIFS(名单表!B6:B562,"实验中学",名单表!R6:R562,"残疾人子女学生")</f>
        <v>1</v>
      </c>
      <c r="N22" s="6">
        <f>COUNTIFS(名单表!B6:B562,"实验中学",名单表!R6:R562,"事实无人抚养学生")</f>
        <v>0</v>
      </c>
      <c r="O22" s="6">
        <f>COUNTIFS(名单表!B6:B562,"实验中学",名单表!R6:R562,"经济困难单亲家庭学生")</f>
        <v>23</v>
      </c>
      <c r="P22" s="6">
        <f>COUNTIFS(名单表!B6:B562,"实验中学",名单表!R6:R562,"其他家庭经济困难")</f>
        <v>3</v>
      </c>
    </row>
  </sheetData>
  <mergeCells count="1">
    <mergeCell ref="A1:O1"/>
  </mergeCells>
  <phoneticPr fontId="3" type="noConversion"/>
  <pageMargins left="0.7" right="0.7" top="0.75" bottom="0.75" header="0.3" footer="0.3"/>
  <pageSetup paperSize="9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D21"/>
  <sheetViews>
    <sheetView workbookViewId="0">
      <selection activeCell="D16" sqref="D16"/>
    </sheetView>
  </sheetViews>
  <sheetFormatPr defaultColWidth="9" defaultRowHeight="13.5" x14ac:dyDescent="0.15"/>
  <cols>
    <col min="3" max="3" width="15.5" customWidth="1"/>
    <col min="4" max="4" width="22" customWidth="1"/>
  </cols>
  <sheetData>
    <row r="2" spans="3:4" x14ac:dyDescent="0.15">
      <c r="C2" t="s">
        <v>8</v>
      </c>
      <c r="D2" t="s">
        <v>79</v>
      </c>
    </row>
    <row r="3" spans="3:4" x14ac:dyDescent="0.15">
      <c r="C3" t="s">
        <v>61</v>
      </c>
      <c r="D3" t="s">
        <v>46</v>
      </c>
    </row>
    <row r="4" spans="3:4" x14ac:dyDescent="0.15">
      <c r="C4" t="s">
        <v>62</v>
      </c>
      <c r="D4" t="s">
        <v>48</v>
      </c>
    </row>
    <row r="5" spans="3:4" x14ac:dyDescent="0.15">
      <c r="C5" t="s">
        <v>63</v>
      </c>
      <c r="D5" t="s">
        <v>49</v>
      </c>
    </row>
    <row r="6" spans="3:4" x14ac:dyDescent="0.15">
      <c r="C6" t="s">
        <v>64</v>
      </c>
      <c r="D6" t="s">
        <v>50</v>
      </c>
    </row>
    <row r="7" spans="3:4" x14ac:dyDescent="0.15">
      <c r="C7" t="s">
        <v>65</v>
      </c>
      <c r="D7" t="s">
        <v>51</v>
      </c>
    </row>
    <row r="8" spans="3:4" x14ac:dyDescent="0.15">
      <c r="C8" t="s">
        <v>66</v>
      </c>
      <c r="D8" t="s">
        <v>52</v>
      </c>
    </row>
    <row r="9" spans="3:4" x14ac:dyDescent="0.15">
      <c r="C9" t="s">
        <v>67</v>
      </c>
      <c r="D9" t="s">
        <v>53</v>
      </c>
    </row>
    <row r="10" spans="3:4" x14ac:dyDescent="0.15">
      <c r="C10" t="s">
        <v>68</v>
      </c>
      <c r="D10" t="s">
        <v>54</v>
      </c>
    </row>
    <row r="11" spans="3:4" x14ac:dyDescent="0.15">
      <c r="C11" t="s">
        <v>69</v>
      </c>
      <c r="D11" t="s">
        <v>55</v>
      </c>
    </row>
    <row r="12" spans="3:4" x14ac:dyDescent="0.15">
      <c r="C12" t="s">
        <v>70</v>
      </c>
      <c r="D12" t="s">
        <v>44</v>
      </c>
    </row>
    <row r="13" spans="3:4" x14ac:dyDescent="0.15">
      <c r="C13" t="s">
        <v>71</v>
      </c>
      <c r="D13" t="s">
        <v>56</v>
      </c>
    </row>
    <row r="14" spans="3:4" x14ac:dyDescent="0.15">
      <c r="C14" t="s">
        <v>72</v>
      </c>
      <c r="D14" t="s">
        <v>57</v>
      </c>
    </row>
    <row r="15" spans="3:4" x14ac:dyDescent="0.15">
      <c r="C15" t="s">
        <v>41</v>
      </c>
      <c r="D15" t="s">
        <v>58</v>
      </c>
    </row>
    <row r="16" spans="3:4" x14ac:dyDescent="0.15">
      <c r="C16" t="s">
        <v>73</v>
      </c>
      <c r="D16" t="s">
        <v>59</v>
      </c>
    </row>
    <row r="17" spans="3:3" x14ac:dyDescent="0.15">
      <c r="C17" t="s">
        <v>74</v>
      </c>
    </row>
    <row r="18" spans="3:3" x14ac:dyDescent="0.15">
      <c r="C18" t="s">
        <v>75</v>
      </c>
    </row>
    <row r="19" spans="3:3" x14ac:dyDescent="0.15">
      <c r="C19" t="s">
        <v>76</v>
      </c>
    </row>
    <row r="20" spans="3:3" x14ac:dyDescent="0.15">
      <c r="C20" t="s">
        <v>77</v>
      </c>
    </row>
    <row r="21" spans="3:3" x14ac:dyDescent="0.15">
      <c r="C21" t="s">
        <v>78</v>
      </c>
    </row>
  </sheetData>
  <phoneticPr fontId="3" type="noConversion"/>
  <pageMargins left="0.7" right="0.7" top="0.75" bottom="0.75" header="0.3" footer="0.3"/>
  <pageSetup paperSize="9" orientation="portrait" horizontalDpi="2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2_1" rangeCreator="" othersAccessPermission="edit"/>
    <arrUserId title="区域2_3_1" rangeCreator="" othersAccessPermission="edit"/>
    <arrUserId title="区域3_3" rangeCreator="" othersAccessPermission="edit"/>
    <arrUserId title="区域3_1_3" rangeCreator="" othersAccessPermission="edit"/>
    <arrUserId title="区域7_2_1" rangeCreator="" othersAccessPermission="edit"/>
    <arrUserId title="区域1_1_1_2" rangeCreator="" othersAccessPermission="edit"/>
    <arrUserId title="区域4_2" rangeCreator="" othersAccessPermission="edit"/>
    <arrUserId title="区域1_1_1_1_1" rangeCreator="" othersAccessPermission="edit"/>
    <arrUserId title="区域4_1_1" rangeCreator="" othersAccessPermission="edit"/>
    <arrUserId title="区域3_2_2" rangeCreator="" othersAccessPermission="edit"/>
    <arrUserId title="区域1_2" rangeCreator="" othersAccessPermission="edit"/>
    <arrUserId title="区域2_5_1" rangeCreator="" othersAccessPermission="edit"/>
    <arrUserId title="区域4_1_2_1" rangeCreator="" othersAccessPermission="edit"/>
    <arrUserId title="区域4_2_1_1" rangeCreator="" othersAccessPermission="edit"/>
    <arrUserId title="区域1_1_2" rangeCreator="" othersAccessPermission="edit"/>
    <arrUserId title="区域1_1_2_1" rangeCreator="" othersAccessPermission="edit"/>
    <arrUserId title="区域1_2_1" rangeCreator="" othersAccessPermission="edit"/>
    <arrUserId title="区域2_4" rangeCreator="" othersAccessPermission="edit"/>
    <arrUserId title="区域1_3" rangeCreator="" othersAccessPermission="edit"/>
    <arrUserId title="区域1_1_1_2_1" rangeCreator="" othersAccessPermission="edit"/>
    <arrUserId title="区域1_2_1_1" rangeCreator="" othersAccessPermission="edit"/>
    <arrUserId title="区域2_1_2" rangeCreator="" othersAccessPermission="edit"/>
    <arrUserId title="区域4_1_5" rangeCreator="" othersAccessPermission="edit"/>
    <arrUserId title="区域3_1" rangeCreator="" othersAccessPermission="edit"/>
    <arrUserId title="区域4_1_6" rangeCreator="" othersAccessPermission="edit"/>
    <arrUserId title="区域4_1_3" rangeCreator="" othersAccessPermission="edit"/>
    <arrUserId title="区域4_2_2" rangeCreator="" othersAccessPermission="edit"/>
    <arrUserId title="区域4_2_4" rangeCreator="" othersAccessPermission="edit"/>
    <arrUserId title="区域3_4" rangeCreator="" othersAccessPermission="edit"/>
    <arrUserId title="区域4_2_1" rangeCreator="" othersAccessPermission="edit"/>
    <arrUserId title="区域3_2" rangeCreator="" othersAccessPermission="edit"/>
    <arrUserId title="区域3_3_1" rangeCreator="" othersAccessPermission="edit"/>
    <arrUserId title="区域4_2_3" rangeCreator="" othersAccessPermission="edit"/>
    <arrUserId title="区域3_3_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名单表</vt:lpstr>
      <vt:lpstr>统计表</vt:lpstr>
      <vt:lpstr>Sheet3</vt:lpstr>
      <vt:lpstr>困难类型</vt:lpstr>
      <vt:lpstr>学校名称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2023-11-13T01:14:35Z</cp:lastPrinted>
  <dcterms:created xsi:type="dcterms:W3CDTF">2006-09-13T11:21:00Z</dcterms:created>
  <dcterms:modified xsi:type="dcterms:W3CDTF">2023-11-28T09:00:22Z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7AA8C58739E142DF8E992E909DDCE7CE</vt:lpwstr>
  </property>
  <property fmtid="{D5CDD505-2E9C-101B-9397-08002B2CF9AE}" pid="3" name="KSOProductBuildVer">
    <vt:lpwstr>2052-11.1.0.13703</vt:lpwstr>
  </property>
</Properties>
</file>