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C:\Users\Administrator\Desktop\各种上报材料\政府办\2023年春季\"/>
    </mc:Choice>
  </mc:AlternateContent>
  <xr:revisionPtr revIDLastSave="0" documentId="13_ncr:1_{9400ABC9-EED0-4B5F-8EFA-483547ABFDC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名单表" sheetId="1" r:id="rId1"/>
    <sheet name="统计表" sheetId="2" r:id="rId2"/>
    <sheet name="Sheet3" sheetId="3" r:id="rId3"/>
  </sheets>
  <definedNames>
    <definedName name="_xlnm._FilterDatabase" localSheetId="0" hidden="1">名单表!$A$5:$AE$100</definedName>
    <definedName name="困难类型">Sheet3!$D$3:$D$16</definedName>
    <definedName name="学校名称">Sheet3!$C$3:$C$21</definedName>
  </definedNames>
  <calcPr calcId="191029"/>
</workbook>
</file>

<file path=xl/calcChain.xml><?xml version="1.0" encoding="utf-8"?>
<calcChain xmlns="http://schemas.openxmlformats.org/spreadsheetml/2006/main">
  <c r="Q101" i="1" l="1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C22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C21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C20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C17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C16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C14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C13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C12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C11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C10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P8" i="2"/>
  <c r="O8" i="2"/>
  <c r="N8" i="2"/>
  <c r="M8" i="2"/>
  <c r="L8" i="2"/>
  <c r="K8" i="2"/>
  <c r="J8" i="2"/>
  <c r="I8" i="2"/>
  <c r="H8" i="2"/>
  <c r="G8" i="2"/>
  <c r="F8" i="2"/>
  <c r="E8" i="2"/>
  <c r="D8" i="2"/>
  <c r="C8" i="2"/>
  <c r="P7" i="2"/>
  <c r="O7" i="2"/>
  <c r="N7" i="2"/>
  <c r="M7" i="2"/>
  <c r="L7" i="2"/>
  <c r="K7" i="2"/>
  <c r="J7" i="2"/>
  <c r="I7" i="2"/>
  <c r="H7" i="2"/>
  <c r="G7" i="2"/>
  <c r="F7" i="2"/>
  <c r="E7" i="2"/>
  <c r="D7" i="2"/>
  <c r="C7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P5" i="2"/>
  <c r="O5" i="2"/>
  <c r="N5" i="2"/>
  <c r="M5" i="2"/>
  <c r="L5" i="2"/>
  <c r="K5" i="2"/>
  <c r="J5" i="2"/>
  <c r="I5" i="2"/>
  <c r="H5" i="2"/>
  <c r="G5" i="2"/>
  <c r="F5" i="2"/>
  <c r="E5" i="2"/>
  <c r="D5" i="2"/>
  <c r="C5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F3" i="2" l="1"/>
  <c r="D3" i="2"/>
  <c r="P3" i="2"/>
  <c r="B5" i="2"/>
  <c r="I3" i="2"/>
  <c r="O3" i="2"/>
  <c r="B11" i="2"/>
  <c r="B17" i="2"/>
  <c r="L3" i="2"/>
  <c r="J3" i="2"/>
  <c r="B6" i="2"/>
  <c r="B12" i="2"/>
  <c r="B18" i="2"/>
  <c r="G3" i="2"/>
  <c r="M3" i="2"/>
  <c r="E3" i="2"/>
  <c r="K3" i="2"/>
  <c r="B9" i="2"/>
  <c r="B15" i="2"/>
  <c r="B21" i="2"/>
  <c r="B4" i="2"/>
  <c r="N3" i="2"/>
  <c r="B10" i="2"/>
  <c r="B16" i="2"/>
  <c r="B22" i="2"/>
  <c r="C3" i="2"/>
  <c r="B7" i="2"/>
  <c r="B13" i="2"/>
  <c r="B19" i="2"/>
  <c r="B8" i="2"/>
  <c r="B14" i="2"/>
  <c r="B20" i="2"/>
  <c r="H3" i="2"/>
  <c r="B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D4" authorId="0" shapeId="0" xr:uid="{00000000-0006-0000-0000-000001000000}">
      <text>
        <r>
          <rPr>
            <b/>
            <sz val="9"/>
            <rFont val="宋体"/>
            <family val="3"/>
            <charset val="134"/>
          </rPr>
          <t>填写学生的姓名</t>
        </r>
      </text>
    </comment>
    <comment ref="G4" authorId="0" shapeId="0" xr:uid="{00000000-0006-0000-0000-000002000000}">
      <text>
        <r>
          <rPr>
            <b/>
            <sz val="9"/>
            <rFont val="宋体"/>
            <family val="3"/>
            <charset val="134"/>
          </rPr>
          <t>学生的性别</t>
        </r>
        <r>
          <rPr>
            <b/>
            <sz val="9"/>
            <rFont val="Tahoma"/>
            <family val="2"/>
          </rPr>
          <t xml:space="preserve"> 0-</t>
        </r>
        <r>
          <rPr>
            <b/>
            <sz val="9"/>
            <rFont val="宋体"/>
            <family val="3"/>
            <charset val="134"/>
          </rPr>
          <t>女</t>
        </r>
        <r>
          <rPr>
            <b/>
            <sz val="9"/>
            <rFont val="Tahoma"/>
            <family val="2"/>
          </rPr>
          <t xml:space="preserve">  1-</t>
        </r>
        <r>
          <rPr>
            <b/>
            <sz val="9"/>
            <rFont val="宋体"/>
            <family val="3"/>
            <charset val="134"/>
          </rPr>
          <t>男</t>
        </r>
        <r>
          <rPr>
            <sz val="9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<sst xmlns="http://schemas.openxmlformats.org/spreadsheetml/2006/main" count="495" uniqueCount="176">
  <si>
    <t>禹王台区2023年春季学期义务教育阶段营养改善计划发放名单表</t>
  </si>
  <si>
    <t>序号</t>
  </si>
  <si>
    <t>学校信息</t>
  </si>
  <si>
    <t>学生入学信息</t>
  </si>
  <si>
    <t>监护人信息</t>
  </si>
  <si>
    <t>资助金发放信息</t>
  </si>
  <si>
    <t>认定信息</t>
  </si>
  <si>
    <t>备注</t>
  </si>
  <si>
    <t>学校名称</t>
  </si>
  <si>
    <t>学校属性</t>
  </si>
  <si>
    <t>姓名</t>
  </si>
  <si>
    <t>全国系统学籍号</t>
  </si>
  <si>
    <t>身份证件号</t>
  </si>
  <si>
    <t>性别</t>
  </si>
  <si>
    <t>出生日期</t>
  </si>
  <si>
    <t>年级</t>
  </si>
  <si>
    <t>班级</t>
  </si>
  <si>
    <t>监护人姓名</t>
  </si>
  <si>
    <t>监护人身份证号</t>
  </si>
  <si>
    <t>监护人联系电话</t>
  </si>
  <si>
    <t>户籍地址</t>
  </si>
  <si>
    <t>发放一卡通户名</t>
  </si>
  <si>
    <t>发放一卡通卡号</t>
  </si>
  <si>
    <t>受助金额</t>
  </si>
  <si>
    <t>困难类别</t>
  </si>
  <si>
    <t>标准全称，必须和全国系统一致</t>
  </si>
  <si>
    <r>
      <rPr>
        <sz val="8"/>
        <color indexed="8"/>
        <rFont val="宋体"/>
        <family val="3"/>
        <charset val="134"/>
      </rPr>
      <t>公办、民办，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</si>
  <si>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必须为汉字（可以包含·），长度大于等于1，且不超过16个汉字，</t>
    </r>
    <r>
      <rPr>
        <sz val="8"/>
        <color indexed="10"/>
        <rFont val="宋体"/>
        <family val="3"/>
        <charset val="134"/>
      </rPr>
      <t>必填项</t>
    </r>
  </si>
  <si>
    <t>填写学生的学籍号，长度不超过50个字符</t>
  </si>
  <si>
    <r>
      <rPr>
        <sz val="8"/>
        <color indexed="8"/>
        <rFont val="宋体"/>
        <family val="3"/>
        <charset val="134"/>
      </rPr>
      <t>填写学生身份证件号，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</si>
  <si>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只能填“男”或“女”。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</si>
  <si>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填写学生的出生日期，格式如20020102。</t>
    </r>
    <r>
      <rPr>
        <sz val="8"/>
        <color indexed="10"/>
        <rFont val="宋体"/>
        <family val="3"/>
        <charset val="134"/>
      </rPr>
      <t>必填项</t>
    </r>
  </si>
  <si>
    <r>
      <rPr>
        <sz val="8"/>
        <color indexed="8"/>
        <rFont val="宋体"/>
        <family val="3"/>
        <charset val="134"/>
      </rPr>
      <t>填写学生所在年级,如:一年级,二年级，三年级等</t>
    </r>
    <r>
      <rPr>
        <sz val="8"/>
        <color indexed="10"/>
        <rFont val="宋体"/>
        <family val="3"/>
        <charset val="134"/>
      </rPr>
      <t>.必填项</t>
    </r>
  </si>
  <si>
    <r>
      <rPr>
        <sz val="8"/>
        <color indexed="8"/>
        <rFont val="宋体"/>
        <family val="3"/>
        <charset val="134"/>
      </rPr>
      <t>填写学生所在年级,如:一班 ,二班等</t>
    </r>
    <r>
      <rPr>
        <sz val="8"/>
        <color indexed="10"/>
        <rFont val="宋体"/>
        <family val="3"/>
        <charset val="134"/>
      </rPr>
      <t>.必填项</t>
    </r>
  </si>
  <si>
    <r>
      <rPr>
        <sz val="8"/>
        <color indexed="8"/>
        <rFont val="宋体"/>
        <family val="3"/>
        <charset val="134"/>
      </rPr>
      <t>必须为汉字（可以包含·），长度大于等于1，且不超过16个汉字</t>
    </r>
    <r>
      <rPr>
        <sz val="8"/>
        <color indexed="10"/>
        <rFont val="宋体"/>
        <family val="3"/>
        <charset val="134"/>
      </rPr>
      <t>，必填项</t>
    </r>
  </si>
  <si>
    <r>
      <rPr>
        <sz val="8"/>
        <color indexed="8"/>
        <rFont val="宋体"/>
        <family val="3"/>
        <charset val="134"/>
      </rPr>
      <t>填写监护人身份证件号，</t>
    </r>
    <r>
      <rPr>
        <sz val="8"/>
        <color indexed="10"/>
        <rFont val="宋体"/>
        <family val="3"/>
        <charset val="134"/>
      </rPr>
      <t>必填项</t>
    </r>
  </si>
  <si>
    <t>必填项</t>
  </si>
  <si>
    <r>
      <rPr>
        <sz val="8"/>
        <rFont val="宋体"/>
        <family val="3"/>
        <charset val="134"/>
      </rPr>
      <t>省、市、县（区）、乡（办事处）、村（社区）、街道门牌号</t>
    </r>
    <r>
      <rPr>
        <sz val="8"/>
        <color indexed="10"/>
        <rFont val="宋体"/>
        <family val="3"/>
        <charset val="134"/>
      </rPr>
      <t>必填项</t>
    </r>
  </si>
  <si>
    <t>单位：元</t>
  </si>
  <si>
    <t>如：脱贫家庭学生等</t>
  </si>
  <si>
    <t>扶轮小学</t>
  </si>
  <si>
    <t>公办</t>
  </si>
  <si>
    <t>何首康</t>
  </si>
  <si>
    <t>脱贫家庭学生</t>
  </si>
  <si>
    <t>何首妩</t>
  </si>
  <si>
    <t>张致远</t>
  </si>
  <si>
    <t>田梓君</t>
  </si>
  <si>
    <t>王鹏涵</t>
  </si>
  <si>
    <t>合计</t>
  </si>
  <si>
    <t>脱贫不稳定家庭学生</t>
  </si>
  <si>
    <t>风险未消除家庭学生</t>
  </si>
  <si>
    <t>边缘易致贫家庭学生</t>
  </si>
  <si>
    <t>突发严重困难家庭学生</t>
  </si>
  <si>
    <t>城乡低保学生</t>
  </si>
  <si>
    <t>城乡低保家庭学生</t>
  </si>
  <si>
    <t>特困救助学生</t>
  </si>
  <si>
    <t>孤儿学生</t>
  </si>
  <si>
    <t>残疾学生</t>
  </si>
  <si>
    <t>残疾人子女学生</t>
  </si>
  <si>
    <t>事实无人抚养学生</t>
  </si>
  <si>
    <t>经济困难单亲家庭学生</t>
  </si>
  <si>
    <t>其他家庭经济困难</t>
  </si>
  <si>
    <t>合  计</t>
  </si>
  <si>
    <t>夏理逊小学</t>
  </si>
  <si>
    <t>中山路第一小学</t>
  </si>
  <si>
    <t>开高附小</t>
  </si>
  <si>
    <t>五一路一小</t>
  </si>
  <si>
    <t>禹王台小学</t>
  </si>
  <si>
    <t>伞塔小学</t>
  </si>
  <si>
    <t>华夏小学</t>
  </si>
  <si>
    <t>杨庄小学</t>
  </si>
  <si>
    <t>西柳林小学</t>
  </si>
  <si>
    <t>松楼小学</t>
  </si>
  <si>
    <t>群力小学</t>
  </si>
  <si>
    <t>高楼小学</t>
  </si>
  <si>
    <t>汪屯小学</t>
  </si>
  <si>
    <t>苏村小学</t>
  </si>
  <si>
    <t>马头小学</t>
  </si>
  <si>
    <t>张庄小学</t>
  </si>
  <si>
    <t>李庄小学</t>
  </si>
  <si>
    <t>实验中学</t>
  </si>
  <si>
    <t>困难类型</t>
  </si>
  <si>
    <t xml:space="preserve">公办 </t>
  </si>
  <si>
    <t>赵俊雅</t>
  </si>
  <si>
    <t>李巧巧</t>
  </si>
  <si>
    <t>李志成</t>
  </si>
  <si>
    <t>韩冬丽</t>
  </si>
  <si>
    <t>谢  影</t>
  </si>
  <si>
    <t>谢  旭</t>
  </si>
  <si>
    <t>刘子龙</t>
  </si>
  <si>
    <t>徐森林</t>
  </si>
  <si>
    <t>牛嘉祥</t>
  </si>
  <si>
    <t>牛怡茜</t>
  </si>
  <si>
    <t>郭以撒</t>
  </si>
  <si>
    <t>魏铭国</t>
  </si>
  <si>
    <t>毛函中</t>
  </si>
  <si>
    <t>包宇航</t>
  </si>
  <si>
    <t>张淑嫚</t>
  </si>
  <si>
    <t>牛嘉源</t>
  </si>
  <si>
    <t>邢欣彤</t>
  </si>
  <si>
    <t>郭依琳</t>
  </si>
  <si>
    <t>张颢桢</t>
  </si>
  <si>
    <t>牛雅诗</t>
  </si>
  <si>
    <t>孙鑫宇</t>
  </si>
  <si>
    <t>韩家琦</t>
  </si>
  <si>
    <t>卢忆甜</t>
  </si>
  <si>
    <t>张  冉</t>
  </si>
  <si>
    <t>姚芊孜</t>
  </si>
  <si>
    <t>孟星兵</t>
  </si>
  <si>
    <t>韩雨琦</t>
  </si>
  <si>
    <t>郭熙雯</t>
  </si>
  <si>
    <t>潘姝晴</t>
  </si>
  <si>
    <t>张灿</t>
  </si>
  <si>
    <t>张智恒</t>
  </si>
  <si>
    <t>陈宇翔</t>
  </si>
  <si>
    <t>于文龙</t>
  </si>
  <si>
    <t>靳雨欣</t>
  </si>
  <si>
    <t>徐皓宇</t>
  </si>
  <si>
    <t>张辰浩</t>
  </si>
  <si>
    <t>王浩博</t>
  </si>
  <si>
    <t>毛晨菲</t>
  </si>
  <si>
    <t>张润昕</t>
  </si>
  <si>
    <t>梁子涵</t>
  </si>
  <si>
    <t>刘静妍</t>
  </si>
  <si>
    <t>刘浩乐</t>
  </si>
  <si>
    <t>郭睿辰</t>
  </si>
  <si>
    <t>周美同</t>
  </si>
  <si>
    <t>梁子睿</t>
  </si>
  <si>
    <t>张倚凡</t>
  </si>
  <si>
    <t>孙乐康</t>
  </si>
  <si>
    <t>公办</t>
    <phoneticPr fontId="22" type="noConversion"/>
  </si>
  <si>
    <t>王旭阳</t>
  </si>
  <si>
    <t>赵家燕</t>
  </si>
  <si>
    <t>赵文强</t>
  </si>
  <si>
    <t>徐运泽</t>
  </si>
  <si>
    <t>米尔萨力·巴拉提</t>
  </si>
  <si>
    <t>迪力穆拉提·巴拉提</t>
  </si>
  <si>
    <t>马梦雪</t>
  </si>
  <si>
    <t>崔梦龙</t>
  </si>
  <si>
    <t>刘采萱</t>
  </si>
  <si>
    <t>翟明姚</t>
  </si>
  <si>
    <t>翟羽晴</t>
  </si>
  <si>
    <t>王楚曦</t>
  </si>
  <si>
    <t>王思奇</t>
  </si>
  <si>
    <t>孙嘉苒</t>
  </si>
  <si>
    <t>孙欣冉</t>
  </si>
  <si>
    <t>朱鑫博</t>
  </si>
  <si>
    <t>张佳美</t>
  </si>
  <si>
    <t>张启祥</t>
  </si>
  <si>
    <t>刘润强</t>
  </si>
  <si>
    <t>丁梓悦</t>
  </si>
  <si>
    <t>赵威</t>
  </si>
  <si>
    <t>潘子怡</t>
  </si>
  <si>
    <t>吴昭君</t>
  </si>
  <si>
    <t>李冰寒</t>
  </si>
  <si>
    <t>张庆熙</t>
  </si>
  <si>
    <t>宋婧姝</t>
  </si>
  <si>
    <t>王清愉</t>
  </si>
  <si>
    <t>吴佳梦</t>
  </si>
  <si>
    <t>代佳雪</t>
  </si>
  <si>
    <t>孙爽</t>
  </si>
  <si>
    <t>丁文轩</t>
  </si>
  <si>
    <t>尹雪晴</t>
  </si>
  <si>
    <t>田倩影</t>
  </si>
  <si>
    <t>田若影</t>
  </si>
  <si>
    <t>邵明乐</t>
  </si>
  <si>
    <t>杨芮菲</t>
  </si>
  <si>
    <t>韩柯萱</t>
  </si>
  <si>
    <t>彭瑞航</t>
  </si>
  <si>
    <t>尹耀斌</t>
  </si>
  <si>
    <t>安子乐</t>
  </si>
  <si>
    <t>孔方正</t>
  </si>
  <si>
    <t>刘博延</t>
  </si>
  <si>
    <t>刘博昌</t>
  </si>
  <si>
    <t>2022年秋季禹王台区营养餐受助学生数统计</t>
    <phoneticPr fontId="5" type="noConversion"/>
  </si>
  <si>
    <t>填报单位：（公章）禹王台区学生资助管理中心   法人签字：                     填表人：孟宪洋     填表时间： 2023年3月29 日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</si>
</sst>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);[Red]\(0.00\)"/>
  </numFmts>
  <fonts count="23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8"/>
      <color theme="3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FF0000"/>
      <name val="宋体"/>
      <family val="3"/>
      <charset val="134"/>
      <scheme val="minor"/>
    </font>
    <font>
      <b/>
      <sz val="14"/>
      <color indexed="8"/>
      <name val="宋体"/>
      <family val="3"/>
      <charset val="134"/>
    </font>
    <font>
      <b/>
      <sz val="11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0"/>
      <name val="宋体"/>
      <family val="3"/>
      <charset val="134"/>
    </font>
    <font>
      <sz val="8"/>
      <color indexed="8"/>
      <name val="宋体"/>
      <family val="3"/>
      <charset val="134"/>
    </font>
    <font>
      <sz val="8"/>
      <color indexed="1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theme="1"/>
      <name val="Tahoma"/>
      <family val="2"/>
    </font>
    <font>
      <sz val="11"/>
      <color theme="1"/>
      <name val="宋体"/>
      <family val="3"/>
      <charset val="134"/>
    </font>
    <font>
      <sz val="10"/>
      <name val="Arial"/>
      <family val="2"/>
    </font>
    <font>
      <sz val="8"/>
      <name val="宋体"/>
      <family val="3"/>
      <charset val="134"/>
    </font>
    <font>
      <b/>
      <sz val="9"/>
      <name val="宋体"/>
      <family val="3"/>
      <charset val="134"/>
    </font>
    <font>
      <sz val="9"/>
      <name val="Tahoma"/>
      <family val="2"/>
    </font>
    <font>
      <b/>
      <sz val="9"/>
      <name val="Tahoma"/>
      <family val="2"/>
    </font>
    <font>
      <sz val="9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2" tint="-9.9917600024414813E-2"/>
        <bgColor indexed="64"/>
      </patternFill>
    </fill>
    <fill>
      <patternFill patternType="solid">
        <fgColor theme="9" tint="0.799951170384838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4" fillId="0" borderId="0"/>
    <xf numFmtId="0" fontId="13" fillId="0" borderId="0">
      <alignment vertical="center"/>
    </xf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13" fillId="0" borderId="0">
      <alignment vertical="center"/>
    </xf>
    <xf numFmtId="0" fontId="1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4" fillId="0" borderId="0"/>
    <xf numFmtId="0" fontId="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0" fillId="3" borderId="2" xfId="0" applyFill="1" applyBorder="1">
      <alignment vertical="center"/>
    </xf>
    <xf numFmtId="0" fontId="3" fillId="4" borderId="2" xfId="0" applyFont="1" applyFill="1" applyBorder="1">
      <alignment vertical="center"/>
    </xf>
    <xf numFmtId="0" fontId="0" fillId="5" borderId="2" xfId="0" applyFill="1" applyBorder="1">
      <alignment vertical="center"/>
    </xf>
    <xf numFmtId="0" fontId="0" fillId="6" borderId="2" xfId="0" applyFill="1" applyBorder="1">
      <alignment vertical="center"/>
    </xf>
    <xf numFmtId="0" fontId="4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0" fillId="8" borderId="2" xfId="0" applyFont="1" applyFill="1" applyBorder="1" applyAlignment="1">
      <alignment horizontal="center" vertical="center" wrapText="1"/>
    </xf>
    <xf numFmtId="49" fontId="10" fillId="8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Border="1" applyAlignment="1">
      <alignment horizontal="center" vertical="top" wrapText="1"/>
    </xf>
    <xf numFmtId="176" fontId="10" fillId="8" borderId="2" xfId="24" applyNumberFormat="1" applyFont="1" applyFill="1" applyBorder="1" applyAlignment="1">
      <alignment horizontal="center" vertical="center" wrapText="1"/>
    </xf>
    <xf numFmtId="49" fontId="12" fillId="0" borderId="2" xfId="0" applyNumberFormat="1" applyFont="1" applyBorder="1" applyAlignment="1">
      <alignment horizontal="center" vertical="top" wrapText="1"/>
    </xf>
    <xf numFmtId="49" fontId="9" fillId="3" borderId="2" xfId="0" applyNumberFormat="1" applyFont="1" applyFill="1" applyBorder="1" applyAlignment="1">
      <alignment vertical="center" wrapText="1"/>
    </xf>
    <xf numFmtId="0" fontId="21" fillId="0" borderId="2" xfId="0" applyFont="1" applyBorder="1" applyAlignment="1">
      <alignment vertical="center" wrapText="1"/>
    </xf>
    <xf numFmtId="49" fontId="7" fillId="7" borderId="3" xfId="0" applyNumberFormat="1" applyFont="1" applyFill="1" applyBorder="1" applyAlignment="1">
      <alignment horizontal="center" vertical="center" wrapText="1"/>
    </xf>
    <xf numFmtId="49" fontId="7" fillId="7" borderId="0" xfId="0" applyNumberFormat="1" applyFont="1" applyFill="1" applyAlignment="1">
      <alignment horizontal="center" vertical="center" wrapText="1"/>
    </xf>
    <xf numFmtId="49" fontId="8" fillId="0" borderId="1" xfId="0" applyNumberFormat="1" applyFont="1" applyBorder="1" applyAlignment="1">
      <alignment horizontal="left" vertical="center"/>
    </xf>
    <xf numFmtId="49" fontId="9" fillId="3" borderId="5" xfId="0" applyNumberFormat="1" applyFont="1" applyFill="1" applyBorder="1" applyAlignment="1">
      <alignment horizontal="center" vertical="center" wrapText="1"/>
    </xf>
    <xf numFmtId="49" fontId="9" fillId="3" borderId="6" xfId="0" applyNumberFormat="1" applyFont="1" applyFill="1" applyBorder="1" applyAlignment="1">
      <alignment horizontal="center" vertical="center" wrapText="1"/>
    </xf>
    <xf numFmtId="49" fontId="9" fillId="3" borderId="7" xfId="0" applyNumberFormat="1" applyFont="1" applyFill="1" applyBorder="1" applyAlignment="1">
      <alignment horizontal="center" vertical="center" wrapText="1"/>
    </xf>
    <xf numFmtId="49" fontId="9" fillId="3" borderId="4" xfId="0" applyNumberFormat="1" applyFont="1" applyFill="1" applyBorder="1" applyAlignment="1">
      <alignment horizontal="center" vertical="center" wrapText="1"/>
    </xf>
    <xf numFmtId="49" fontId="9" fillId="3" borderId="8" xfId="0" applyNumberFormat="1" applyFont="1" applyFill="1" applyBorder="1" applyAlignment="1">
      <alignment horizontal="center" vertical="center" wrapText="1"/>
    </xf>
    <xf numFmtId="49" fontId="9" fillId="3" borderId="9" xfId="0" applyNumberFormat="1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left" vertical="top" wrapText="1"/>
    </xf>
    <xf numFmtId="0" fontId="6" fillId="3" borderId="9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/>
    </xf>
  </cellXfs>
  <cellStyles count="44">
    <cellStyle name="常规" xfId="0" builtinId="0"/>
    <cellStyle name="常规 10" xfId="10" xr:uid="{00000000-0005-0000-0000-000038000000}"/>
    <cellStyle name="常规 10 10" xfId="12" xr:uid="{00000000-0005-0000-0000-00003C000000}"/>
    <cellStyle name="常规 10 10 2" xfId="13" xr:uid="{00000000-0005-0000-0000-00003D000000}"/>
    <cellStyle name="常规 10 11" xfId="6" xr:uid="{00000000-0005-0000-0000-000017000000}"/>
    <cellStyle name="常规 10 2" xfId="11" xr:uid="{00000000-0005-0000-0000-00003A000000}"/>
    <cellStyle name="常规 10 2 2 10" xfId="2" xr:uid="{00000000-0005-0000-0000-000006000000}"/>
    <cellStyle name="常规 10 2 2 2" xfId="14" xr:uid="{00000000-0005-0000-0000-00003E000000}"/>
    <cellStyle name="常规 10 2 2 3 5 2 2" xfId="7" xr:uid="{00000000-0005-0000-0000-00001D000000}"/>
    <cellStyle name="常规 10 5 3" xfId="15" xr:uid="{00000000-0005-0000-0000-00003F000000}"/>
    <cellStyle name="常规 10 9 2" xfId="1" xr:uid="{00000000-0005-0000-0000-000001000000}"/>
    <cellStyle name="常规 11 2 2 4 2" xfId="16" xr:uid="{00000000-0005-0000-0000-000040000000}"/>
    <cellStyle name="常规 11 2 2 5" xfId="9" xr:uid="{00000000-0005-0000-0000-000036000000}"/>
    <cellStyle name="常规 11 4" xfId="18" xr:uid="{00000000-0005-0000-0000-000042000000}"/>
    <cellStyle name="常规 11 4 2" xfId="4" xr:uid="{00000000-0005-0000-0000-00000C000000}"/>
    <cellStyle name="常规 11 4 2 2 2" xfId="8" xr:uid="{00000000-0005-0000-0000-00002B000000}"/>
    <cellStyle name="常规 11 5 7" xfId="17" xr:uid="{00000000-0005-0000-0000-000041000000}"/>
    <cellStyle name="常规 11 5 7 2" xfId="3" xr:uid="{00000000-0005-0000-0000-00000B000000}"/>
    <cellStyle name="常规 12" xfId="5" xr:uid="{00000000-0005-0000-0000-000016000000}"/>
    <cellStyle name="常规 13 10" xfId="19" xr:uid="{00000000-0005-0000-0000-000043000000}"/>
    <cellStyle name="常规 13 4 2 2 2" xfId="20" xr:uid="{00000000-0005-0000-0000-000044000000}"/>
    <cellStyle name="常规 14 2 2 2 2" xfId="21" xr:uid="{00000000-0005-0000-0000-000045000000}"/>
    <cellStyle name="常规 17" xfId="22" xr:uid="{00000000-0005-0000-0000-000046000000}"/>
    <cellStyle name="常规 2" xfId="23" xr:uid="{00000000-0005-0000-0000-000047000000}"/>
    <cellStyle name="常规 2 2" xfId="24" xr:uid="{00000000-0005-0000-0000-000048000000}"/>
    <cellStyle name="常规 2 2 2" xfId="25" xr:uid="{00000000-0005-0000-0000-000049000000}"/>
    <cellStyle name="常规 2 2 3 2 2 2" xfId="26" xr:uid="{00000000-0005-0000-0000-00004A000000}"/>
    <cellStyle name="常规 2 2 3 2 2 2 2 2 2 2" xfId="27" xr:uid="{00000000-0005-0000-0000-00004B000000}"/>
    <cellStyle name="常规 2 2 6 2 2 2" xfId="28" xr:uid="{00000000-0005-0000-0000-00004C000000}"/>
    <cellStyle name="常规 2 5 2 2" xfId="29" xr:uid="{00000000-0005-0000-0000-00004D000000}"/>
    <cellStyle name="常规 2 5 2 2 2 2" xfId="30" xr:uid="{00000000-0005-0000-0000-00004E000000}"/>
    <cellStyle name="常规 2 5 2 3" xfId="31" xr:uid="{00000000-0005-0000-0000-00004F000000}"/>
    <cellStyle name="常规 20" xfId="32" xr:uid="{00000000-0005-0000-0000-000050000000}"/>
    <cellStyle name="常规 20 2" xfId="33" xr:uid="{00000000-0005-0000-0000-000051000000}"/>
    <cellStyle name="常规 21" xfId="34" xr:uid="{00000000-0005-0000-0000-000052000000}"/>
    <cellStyle name="常规 3" xfId="35" xr:uid="{00000000-0005-0000-0000-000053000000}"/>
    <cellStyle name="常规 4 2" xfId="36" xr:uid="{00000000-0005-0000-0000-000054000000}"/>
    <cellStyle name="常规 5" xfId="37" xr:uid="{00000000-0005-0000-0000-000055000000}"/>
    <cellStyle name="常规 9 2" xfId="38" xr:uid="{00000000-0005-0000-0000-000056000000}"/>
    <cellStyle name="常规 9 2 2 2 2" xfId="39" xr:uid="{00000000-0005-0000-0000-000057000000}"/>
    <cellStyle name="常规 9 2 2 2 2 2 2 2" xfId="40" xr:uid="{00000000-0005-0000-0000-000058000000}"/>
    <cellStyle name="常规 9 2 4" xfId="41" xr:uid="{00000000-0005-0000-0000-000059000000}"/>
    <cellStyle name="常规 9 4 2 10 2" xfId="42" xr:uid="{00000000-0005-0000-0000-00005A000000}"/>
    <cellStyle name="常规 9 4 2 2 2 2 2" xfId="43" xr:uid="{00000000-0005-0000-0000-00005B000000}"/>
  </cellStyles>
  <dxfs count="0"/>
  <tableStyles count="0" defaultTableStyle="TableStyleMedium9" defaultPivotStyle="PivotStyleLight16"/>
  <colors>
    <mruColors>
      <color rgb="FFCCCC00"/>
      <color rgb="FFFFCC99"/>
      <color rgb="FFCCFF33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1"/>
  <sheetViews>
    <sheetView tabSelected="1" workbookViewId="0">
      <selection activeCell="L13" sqref="L13"/>
    </sheetView>
  </sheetViews>
  <sheetFormatPr defaultColWidth="9" defaultRowHeight="13.5" x14ac:dyDescent="0.15"/>
  <cols>
    <col min="1" max="1" width="5.25" style="10" customWidth="1"/>
    <col min="2" max="2" width="7.25" style="10" customWidth="1"/>
    <col min="3" max="3" width="5.375" style="10" customWidth="1"/>
    <col min="4" max="4" width="5.25" style="10" customWidth="1"/>
    <col min="5" max="5" width="7.625" style="10" customWidth="1"/>
    <col min="6" max="6" width="7.375" style="10" customWidth="1"/>
    <col min="7" max="7" width="4.25" style="10" customWidth="1"/>
    <col min="8" max="10" width="5.25" style="10" customWidth="1"/>
    <col min="11" max="12" width="9" style="10"/>
    <col min="13" max="13" width="6.75" style="10" customWidth="1"/>
    <col min="14" max="14" width="6.875" style="10" customWidth="1"/>
    <col min="15" max="16" width="9" style="10"/>
    <col min="17" max="17" width="8.625" style="10" customWidth="1"/>
    <col min="18" max="18" width="9.75" style="10" customWidth="1"/>
    <col min="19" max="19" width="9.5" style="10" customWidth="1"/>
    <col min="20" max="20" width="9.625" style="10" customWidth="1"/>
    <col min="21" max="21" width="13" style="10" customWidth="1"/>
    <col min="22" max="23" width="19.25" style="10" customWidth="1"/>
    <col min="24" max="24" width="21.375" style="10" customWidth="1"/>
    <col min="25" max="25" width="13" style="10" customWidth="1"/>
    <col min="26" max="26" width="17.25" style="10" customWidth="1"/>
    <col min="27" max="27" width="13" style="10" customWidth="1"/>
    <col min="28" max="29" width="9" style="10"/>
    <col min="30" max="30" width="15.125" style="10" customWidth="1"/>
    <col min="31" max="31" width="17.25" style="10" customWidth="1"/>
    <col min="32" max="16384" width="9" style="10"/>
  </cols>
  <sheetData>
    <row r="1" spans="1:19" ht="30" customHeight="1" x14ac:dyDescent="0.15">
      <c r="A1" s="18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</row>
    <row r="2" spans="1:19" ht="24.75" customHeight="1" x14ac:dyDescent="0.15">
      <c r="A2" s="20" t="s">
        <v>175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5.5" customHeight="1" x14ac:dyDescent="0.15">
      <c r="A3" s="24" t="s">
        <v>1</v>
      </c>
      <c r="B3" s="21" t="s">
        <v>2</v>
      </c>
      <c r="C3" s="22"/>
      <c r="D3" s="21" t="s">
        <v>3</v>
      </c>
      <c r="E3" s="23"/>
      <c r="F3" s="23"/>
      <c r="G3" s="23"/>
      <c r="H3" s="23"/>
      <c r="I3" s="23"/>
      <c r="J3" s="22"/>
      <c r="K3" s="21" t="s">
        <v>4</v>
      </c>
      <c r="L3" s="23"/>
      <c r="M3" s="23"/>
      <c r="N3" s="23"/>
      <c r="O3" s="21" t="s">
        <v>5</v>
      </c>
      <c r="P3" s="23"/>
      <c r="Q3" s="22"/>
      <c r="R3" s="16" t="s">
        <v>6</v>
      </c>
      <c r="S3" s="4" t="s">
        <v>7</v>
      </c>
    </row>
    <row r="4" spans="1:19" ht="36" x14ac:dyDescent="0.15">
      <c r="A4" s="25"/>
      <c r="B4" s="11" t="s">
        <v>8</v>
      </c>
      <c r="C4" s="11" t="s">
        <v>9</v>
      </c>
      <c r="D4" s="11" t="s">
        <v>10</v>
      </c>
      <c r="E4" s="12" t="s">
        <v>11</v>
      </c>
      <c r="F4" s="12" t="s">
        <v>12</v>
      </c>
      <c r="G4" s="11" t="s">
        <v>13</v>
      </c>
      <c r="H4" s="11" t="s">
        <v>14</v>
      </c>
      <c r="I4" s="11" t="s">
        <v>15</v>
      </c>
      <c r="J4" s="11" t="s">
        <v>16</v>
      </c>
      <c r="K4" s="11" t="s">
        <v>17</v>
      </c>
      <c r="L4" s="12" t="s">
        <v>18</v>
      </c>
      <c r="M4" s="12" t="s">
        <v>19</v>
      </c>
      <c r="N4" s="12" t="s">
        <v>20</v>
      </c>
      <c r="O4" s="14" t="s">
        <v>21</v>
      </c>
      <c r="P4" s="11" t="s">
        <v>22</v>
      </c>
      <c r="Q4" s="11" t="s">
        <v>23</v>
      </c>
      <c r="R4" s="11" t="s">
        <v>24</v>
      </c>
      <c r="S4" s="27"/>
    </row>
    <row r="5" spans="1:19" ht="22.5" customHeight="1" x14ac:dyDescent="0.15">
      <c r="A5" s="26"/>
      <c r="B5" s="13" t="s">
        <v>25</v>
      </c>
      <c r="C5" s="13" t="s">
        <v>26</v>
      </c>
      <c r="D5" s="13" t="s">
        <v>27</v>
      </c>
      <c r="E5" s="13" t="s">
        <v>28</v>
      </c>
      <c r="F5" s="13" t="s">
        <v>29</v>
      </c>
      <c r="G5" s="13" t="s">
        <v>30</v>
      </c>
      <c r="H5" s="13" t="s">
        <v>31</v>
      </c>
      <c r="I5" s="13" t="s">
        <v>32</v>
      </c>
      <c r="J5" s="13" t="s">
        <v>33</v>
      </c>
      <c r="K5" s="13" t="s">
        <v>34</v>
      </c>
      <c r="L5" s="13" t="s">
        <v>35</v>
      </c>
      <c r="M5" s="15" t="s">
        <v>36</v>
      </c>
      <c r="N5" s="15" t="s">
        <v>37</v>
      </c>
      <c r="O5" s="15" t="s">
        <v>36</v>
      </c>
      <c r="P5" s="15" t="s">
        <v>36</v>
      </c>
      <c r="Q5" s="15" t="s">
        <v>38</v>
      </c>
      <c r="R5" s="13" t="s">
        <v>39</v>
      </c>
      <c r="S5" s="28"/>
    </row>
    <row r="6" spans="1:19" s="9" customFormat="1" ht="21.95" customHeight="1" x14ac:dyDescent="0.15">
      <c r="A6" s="17">
        <v>1</v>
      </c>
      <c r="B6" s="17" t="s">
        <v>68</v>
      </c>
      <c r="C6" s="17" t="s">
        <v>82</v>
      </c>
      <c r="D6" s="17" t="s">
        <v>83</v>
      </c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>
        <v>400</v>
      </c>
      <c r="R6" s="17" t="s">
        <v>43</v>
      </c>
      <c r="S6" s="17"/>
    </row>
    <row r="7" spans="1:19" s="9" customFormat="1" ht="21.95" customHeight="1" x14ac:dyDescent="0.15">
      <c r="A7" s="17">
        <v>2</v>
      </c>
      <c r="B7" s="17" t="s">
        <v>68</v>
      </c>
      <c r="C7" s="17" t="s">
        <v>82</v>
      </c>
      <c r="D7" s="17" t="s">
        <v>84</v>
      </c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>
        <v>400</v>
      </c>
      <c r="R7" s="17" t="s">
        <v>43</v>
      </c>
      <c r="S7" s="17"/>
    </row>
    <row r="8" spans="1:19" s="9" customFormat="1" ht="21.95" customHeight="1" x14ac:dyDescent="0.15">
      <c r="A8" s="17">
        <v>3</v>
      </c>
      <c r="B8" s="17" t="s">
        <v>68</v>
      </c>
      <c r="C8" s="17" t="s">
        <v>82</v>
      </c>
      <c r="D8" s="17" t="s">
        <v>85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>
        <v>400</v>
      </c>
      <c r="R8" s="17" t="s">
        <v>43</v>
      </c>
      <c r="S8" s="17"/>
    </row>
    <row r="9" spans="1:19" s="9" customFormat="1" ht="21.95" customHeight="1" x14ac:dyDescent="0.15">
      <c r="A9" s="17">
        <v>4</v>
      </c>
      <c r="B9" s="17" t="s">
        <v>68</v>
      </c>
      <c r="C9" s="17" t="s">
        <v>82</v>
      </c>
      <c r="D9" s="17" t="s">
        <v>86</v>
      </c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>
        <v>400</v>
      </c>
      <c r="R9" s="17" t="s">
        <v>43</v>
      </c>
      <c r="S9" s="17"/>
    </row>
    <row r="10" spans="1:19" s="9" customFormat="1" ht="21.95" customHeight="1" x14ac:dyDescent="0.15">
      <c r="A10" s="17">
        <v>5</v>
      </c>
      <c r="B10" s="17" t="s">
        <v>63</v>
      </c>
      <c r="C10" s="17" t="s">
        <v>41</v>
      </c>
      <c r="D10" s="17" t="s">
        <v>87</v>
      </c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>
        <v>400</v>
      </c>
      <c r="R10" s="17" t="s">
        <v>43</v>
      </c>
      <c r="S10" s="17"/>
    </row>
    <row r="11" spans="1:19" s="9" customFormat="1" ht="21.95" customHeight="1" x14ac:dyDescent="0.15">
      <c r="A11" s="17">
        <v>6</v>
      </c>
      <c r="B11" s="17" t="s">
        <v>63</v>
      </c>
      <c r="C11" s="17" t="s">
        <v>41</v>
      </c>
      <c r="D11" s="17" t="s">
        <v>88</v>
      </c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>
        <v>400</v>
      </c>
      <c r="R11" s="17" t="s">
        <v>43</v>
      </c>
      <c r="S11" s="17"/>
    </row>
    <row r="12" spans="1:19" s="9" customFormat="1" ht="21.95" customHeight="1" x14ac:dyDescent="0.15">
      <c r="A12" s="17">
        <v>7</v>
      </c>
      <c r="B12" s="17" t="s">
        <v>63</v>
      </c>
      <c r="C12" s="17" t="s">
        <v>41</v>
      </c>
      <c r="D12" s="17" t="s">
        <v>89</v>
      </c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>
        <v>400</v>
      </c>
      <c r="R12" s="17" t="s">
        <v>43</v>
      </c>
      <c r="S12" s="17"/>
    </row>
    <row r="13" spans="1:19" s="9" customFormat="1" ht="21.95" customHeight="1" x14ac:dyDescent="0.15">
      <c r="A13" s="17">
        <v>8</v>
      </c>
      <c r="B13" s="17" t="s">
        <v>63</v>
      </c>
      <c r="C13" s="17" t="s">
        <v>41</v>
      </c>
      <c r="D13" s="17" t="s">
        <v>90</v>
      </c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>
        <v>400</v>
      </c>
      <c r="R13" s="17" t="s">
        <v>43</v>
      </c>
      <c r="S13" s="17"/>
    </row>
    <row r="14" spans="1:19" s="9" customFormat="1" ht="21.95" customHeight="1" x14ac:dyDescent="0.15">
      <c r="A14" s="17">
        <v>9</v>
      </c>
      <c r="B14" s="17" t="s">
        <v>63</v>
      </c>
      <c r="C14" s="17" t="s">
        <v>41</v>
      </c>
      <c r="D14" s="17" t="s">
        <v>91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>
        <v>400</v>
      </c>
      <c r="R14" s="17" t="s">
        <v>43</v>
      </c>
      <c r="S14" s="17"/>
    </row>
    <row r="15" spans="1:19" s="9" customFormat="1" ht="21.95" customHeight="1" x14ac:dyDescent="0.15">
      <c r="A15" s="17">
        <v>10</v>
      </c>
      <c r="B15" s="17" t="s">
        <v>63</v>
      </c>
      <c r="C15" s="17" t="s">
        <v>41</v>
      </c>
      <c r="D15" s="17" t="s">
        <v>92</v>
      </c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>
        <v>400</v>
      </c>
      <c r="R15" s="17" t="s">
        <v>43</v>
      </c>
      <c r="S15" s="17"/>
    </row>
    <row r="16" spans="1:19" s="9" customFormat="1" ht="21.95" customHeight="1" x14ac:dyDescent="0.15">
      <c r="A16" s="17">
        <v>11</v>
      </c>
      <c r="B16" s="17" t="s">
        <v>63</v>
      </c>
      <c r="C16" s="17" t="s">
        <v>41</v>
      </c>
      <c r="D16" s="17" t="s">
        <v>93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>
        <v>400</v>
      </c>
      <c r="R16" s="17" t="s">
        <v>43</v>
      </c>
      <c r="S16" s="17"/>
    </row>
    <row r="17" spans="1:19" s="9" customFormat="1" ht="21.95" customHeight="1" x14ac:dyDescent="0.15">
      <c r="A17" s="17">
        <v>12</v>
      </c>
      <c r="B17" s="17" t="s">
        <v>63</v>
      </c>
      <c r="C17" s="17" t="s">
        <v>41</v>
      </c>
      <c r="D17" s="17" t="s">
        <v>94</v>
      </c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>
        <v>400</v>
      </c>
      <c r="R17" s="17" t="s">
        <v>43</v>
      </c>
      <c r="S17" s="17"/>
    </row>
    <row r="18" spans="1:19" s="9" customFormat="1" ht="21.95" customHeight="1" x14ac:dyDescent="0.15">
      <c r="A18" s="17">
        <v>13</v>
      </c>
      <c r="B18" s="17" t="s">
        <v>63</v>
      </c>
      <c r="C18" s="17" t="s">
        <v>41</v>
      </c>
      <c r="D18" s="17" t="s">
        <v>95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>
        <v>400</v>
      </c>
      <c r="R18" s="17" t="s">
        <v>43</v>
      </c>
      <c r="S18" s="17"/>
    </row>
    <row r="19" spans="1:19" s="9" customFormat="1" ht="21.95" customHeight="1" x14ac:dyDescent="0.15">
      <c r="A19" s="17">
        <v>14</v>
      </c>
      <c r="B19" s="17" t="s">
        <v>63</v>
      </c>
      <c r="C19" s="17" t="s">
        <v>41</v>
      </c>
      <c r="D19" s="17" t="s">
        <v>96</v>
      </c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>
        <v>400</v>
      </c>
      <c r="R19" s="17" t="s">
        <v>43</v>
      </c>
      <c r="S19" s="17"/>
    </row>
    <row r="20" spans="1:19" s="9" customFormat="1" ht="21.95" customHeight="1" x14ac:dyDescent="0.15">
      <c r="A20" s="17">
        <v>15</v>
      </c>
      <c r="B20" s="17" t="s">
        <v>40</v>
      </c>
      <c r="C20" s="17" t="s">
        <v>41</v>
      </c>
      <c r="D20" s="17" t="s">
        <v>42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>
        <v>400</v>
      </c>
      <c r="R20" s="17" t="s">
        <v>43</v>
      </c>
      <c r="S20" s="17"/>
    </row>
    <row r="21" spans="1:19" s="9" customFormat="1" ht="21.95" customHeight="1" x14ac:dyDescent="0.15">
      <c r="A21" s="17">
        <v>16</v>
      </c>
      <c r="B21" s="17" t="s">
        <v>40</v>
      </c>
      <c r="C21" s="17" t="s">
        <v>41</v>
      </c>
      <c r="D21" s="17" t="s">
        <v>44</v>
      </c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>
        <v>400</v>
      </c>
      <c r="R21" s="17" t="s">
        <v>43</v>
      </c>
      <c r="S21" s="17"/>
    </row>
    <row r="22" spans="1:19" s="9" customFormat="1" ht="21.95" customHeight="1" x14ac:dyDescent="0.15">
      <c r="A22" s="17">
        <v>17</v>
      </c>
      <c r="B22" s="17" t="s">
        <v>40</v>
      </c>
      <c r="C22" s="17" t="s">
        <v>41</v>
      </c>
      <c r="D22" s="17" t="s">
        <v>45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>
        <v>400</v>
      </c>
      <c r="R22" s="17" t="s">
        <v>43</v>
      </c>
      <c r="S22" s="17"/>
    </row>
    <row r="23" spans="1:19" s="9" customFormat="1" ht="21.95" customHeight="1" x14ac:dyDescent="0.15">
      <c r="A23" s="17">
        <v>18</v>
      </c>
      <c r="B23" s="17" t="s">
        <v>40</v>
      </c>
      <c r="C23" s="17" t="s">
        <v>41</v>
      </c>
      <c r="D23" s="17" t="s">
        <v>46</v>
      </c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>
        <v>400</v>
      </c>
      <c r="R23" s="17" t="s">
        <v>43</v>
      </c>
      <c r="S23" s="17"/>
    </row>
    <row r="24" spans="1:19" s="9" customFormat="1" ht="21.95" customHeight="1" x14ac:dyDescent="0.15">
      <c r="A24" s="17">
        <v>19</v>
      </c>
      <c r="B24" s="17" t="s">
        <v>40</v>
      </c>
      <c r="C24" s="17" t="s">
        <v>41</v>
      </c>
      <c r="D24" s="17" t="s">
        <v>47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>
        <v>400</v>
      </c>
      <c r="R24" s="17" t="s">
        <v>43</v>
      </c>
      <c r="S24" s="17"/>
    </row>
    <row r="25" spans="1:19" s="9" customFormat="1" ht="21.95" customHeight="1" x14ac:dyDescent="0.15">
      <c r="A25" s="17">
        <v>20</v>
      </c>
      <c r="B25" s="17" t="s">
        <v>64</v>
      </c>
      <c r="C25" s="17" t="s">
        <v>41</v>
      </c>
      <c r="D25" s="17" t="s">
        <v>97</v>
      </c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>
        <v>400</v>
      </c>
      <c r="R25" s="17" t="s">
        <v>43</v>
      </c>
      <c r="S25" s="17"/>
    </row>
    <row r="26" spans="1:19" s="9" customFormat="1" ht="21.95" customHeight="1" x14ac:dyDescent="0.15">
      <c r="A26" s="17">
        <v>21</v>
      </c>
      <c r="B26" s="17" t="s">
        <v>64</v>
      </c>
      <c r="C26" s="17" t="s">
        <v>41</v>
      </c>
      <c r="D26" s="17" t="s">
        <v>98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>
        <v>400</v>
      </c>
      <c r="R26" s="17" t="s">
        <v>52</v>
      </c>
      <c r="S26" s="17"/>
    </row>
    <row r="27" spans="1:19" s="9" customFormat="1" ht="21.95" customHeight="1" x14ac:dyDescent="0.15">
      <c r="A27" s="17">
        <v>22</v>
      </c>
      <c r="B27" s="17" t="s">
        <v>64</v>
      </c>
      <c r="C27" s="17" t="s">
        <v>41</v>
      </c>
      <c r="D27" s="17" t="s">
        <v>99</v>
      </c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>
        <v>400</v>
      </c>
      <c r="R27" s="17" t="s">
        <v>43</v>
      </c>
      <c r="S27" s="17"/>
    </row>
    <row r="28" spans="1:19" s="9" customFormat="1" ht="21.95" customHeight="1" x14ac:dyDescent="0.15">
      <c r="A28" s="17">
        <v>23</v>
      </c>
      <c r="B28" s="17" t="s">
        <v>64</v>
      </c>
      <c r="C28" s="17" t="s">
        <v>41</v>
      </c>
      <c r="D28" s="17" t="s">
        <v>100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>
        <v>400</v>
      </c>
      <c r="R28" s="17" t="s">
        <v>43</v>
      </c>
      <c r="S28" s="17"/>
    </row>
    <row r="29" spans="1:19" s="9" customFormat="1" ht="21.95" customHeight="1" x14ac:dyDescent="0.15">
      <c r="A29" s="17">
        <v>24</v>
      </c>
      <c r="B29" s="17" t="s">
        <v>64</v>
      </c>
      <c r="C29" s="17" t="s">
        <v>41</v>
      </c>
      <c r="D29" s="17" t="s">
        <v>101</v>
      </c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>
        <v>400</v>
      </c>
      <c r="R29" s="17" t="s">
        <v>43</v>
      </c>
      <c r="S29" s="17"/>
    </row>
    <row r="30" spans="1:19" s="9" customFormat="1" ht="21.95" customHeight="1" x14ac:dyDescent="0.15">
      <c r="A30" s="17">
        <v>25</v>
      </c>
      <c r="B30" s="17" t="s">
        <v>64</v>
      </c>
      <c r="C30" s="17" t="s">
        <v>41</v>
      </c>
      <c r="D30" s="17" t="s">
        <v>102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>
        <v>400</v>
      </c>
      <c r="R30" s="17" t="s">
        <v>43</v>
      </c>
      <c r="S30" s="17"/>
    </row>
    <row r="31" spans="1:19" s="9" customFormat="1" ht="21.95" customHeight="1" x14ac:dyDescent="0.15">
      <c r="A31" s="17">
        <v>26</v>
      </c>
      <c r="B31" s="17" t="s">
        <v>64</v>
      </c>
      <c r="C31" s="17" t="s">
        <v>41</v>
      </c>
      <c r="D31" s="17" t="s">
        <v>103</v>
      </c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>
        <v>400</v>
      </c>
      <c r="R31" s="17" t="s">
        <v>52</v>
      </c>
      <c r="S31" s="17"/>
    </row>
    <row r="32" spans="1:19" s="9" customFormat="1" ht="21.95" customHeight="1" x14ac:dyDescent="0.15">
      <c r="A32" s="17">
        <v>27</v>
      </c>
      <c r="B32" s="17" t="s">
        <v>64</v>
      </c>
      <c r="C32" s="17" t="s">
        <v>41</v>
      </c>
      <c r="D32" s="17" t="s">
        <v>104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>
        <v>400</v>
      </c>
      <c r="R32" s="17" t="s">
        <v>43</v>
      </c>
      <c r="S32" s="17"/>
    </row>
    <row r="33" spans="1:19" s="9" customFormat="1" ht="21.95" customHeight="1" x14ac:dyDescent="0.15">
      <c r="A33" s="17">
        <v>28</v>
      </c>
      <c r="B33" s="17" t="s">
        <v>64</v>
      </c>
      <c r="C33" s="17" t="s">
        <v>41</v>
      </c>
      <c r="D33" s="17" t="s">
        <v>105</v>
      </c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>
        <v>400</v>
      </c>
      <c r="R33" s="17" t="s">
        <v>43</v>
      </c>
      <c r="S33" s="17"/>
    </row>
    <row r="34" spans="1:19" s="9" customFormat="1" ht="21.95" customHeight="1" x14ac:dyDescent="0.15">
      <c r="A34" s="17">
        <v>29</v>
      </c>
      <c r="B34" s="17" t="s">
        <v>64</v>
      </c>
      <c r="C34" s="17" t="s">
        <v>41</v>
      </c>
      <c r="D34" s="17" t="s">
        <v>106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>
        <v>400</v>
      </c>
      <c r="R34" s="17" t="s">
        <v>43</v>
      </c>
      <c r="S34" s="17"/>
    </row>
    <row r="35" spans="1:19" s="9" customFormat="1" ht="21.95" customHeight="1" x14ac:dyDescent="0.15">
      <c r="A35" s="17">
        <v>30</v>
      </c>
      <c r="B35" s="17" t="s">
        <v>64</v>
      </c>
      <c r="C35" s="17" t="s">
        <v>41</v>
      </c>
      <c r="D35" s="17" t="s">
        <v>107</v>
      </c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>
        <v>400</v>
      </c>
      <c r="R35" s="17" t="s">
        <v>43</v>
      </c>
      <c r="S35" s="17"/>
    </row>
    <row r="36" spans="1:19" s="9" customFormat="1" ht="21.95" customHeight="1" x14ac:dyDescent="0.15">
      <c r="A36" s="17">
        <v>31</v>
      </c>
      <c r="B36" s="17" t="s">
        <v>64</v>
      </c>
      <c r="C36" s="17" t="s">
        <v>41</v>
      </c>
      <c r="D36" s="17" t="s">
        <v>108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>
        <v>400</v>
      </c>
      <c r="R36" s="17" t="s">
        <v>43</v>
      </c>
      <c r="S36" s="17"/>
    </row>
    <row r="37" spans="1:19" s="9" customFormat="1" ht="21.95" customHeight="1" x14ac:dyDescent="0.15">
      <c r="A37" s="17">
        <v>32</v>
      </c>
      <c r="B37" s="17" t="s">
        <v>64</v>
      </c>
      <c r="C37" s="17" t="s">
        <v>41</v>
      </c>
      <c r="D37" s="17" t="s">
        <v>109</v>
      </c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>
        <v>400</v>
      </c>
      <c r="R37" s="17" t="s">
        <v>43</v>
      </c>
      <c r="S37" s="17"/>
    </row>
    <row r="38" spans="1:19" s="9" customFormat="1" ht="21.95" customHeight="1" x14ac:dyDescent="0.15">
      <c r="A38" s="17">
        <v>33</v>
      </c>
      <c r="B38" s="17" t="s">
        <v>66</v>
      </c>
      <c r="C38" s="17" t="s">
        <v>41</v>
      </c>
      <c r="D38" s="17" t="s">
        <v>110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>
        <v>400</v>
      </c>
      <c r="R38" s="17" t="s">
        <v>43</v>
      </c>
      <c r="S38" s="17"/>
    </row>
    <row r="39" spans="1:19" s="9" customFormat="1" ht="21.95" customHeight="1" x14ac:dyDescent="0.15">
      <c r="A39" s="17">
        <v>34</v>
      </c>
      <c r="B39" s="17" t="s">
        <v>66</v>
      </c>
      <c r="C39" s="17" t="s">
        <v>41</v>
      </c>
      <c r="D39" s="17" t="s">
        <v>111</v>
      </c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>
        <v>400</v>
      </c>
      <c r="R39" s="17" t="s">
        <v>43</v>
      </c>
      <c r="S39" s="17"/>
    </row>
    <row r="40" spans="1:19" s="9" customFormat="1" ht="21.95" customHeight="1" x14ac:dyDescent="0.15">
      <c r="A40" s="17">
        <v>35</v>
      </c>
      <c r="B40" s="17" t="s">
        <v>66</v>
      </c>
      <c r="C40" s="17" t="s">
        <v>41</v>
      </c>
      <c r="D40" s="17" t="s">
        <v>112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>
        <v>400</v>
      </c>
      <c r="R40" s="17" t="s">
        <v>43</v>
      </c>
      <c r="S40" s="17"/>
    </row>
    <row r="41" spans="1:19" s="9" customFormat="1" ht="21.95" customHeight="1" x14ac:dyDescent="0.15">
      <c r="A41" s="17">
        <v>36</v>
      </c>
      <c r="B41" s="17" t="s">
        <v>66</v>
      </c>
      <c r="C41" s="17" t="s">
        <v>41</v>
      </c>
      <c r="D41" s="17" t="s">
        <v>113</v>
      </c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>
        <v>400</v>
      </c>
      <c r="R41" s="17" t="s">
        <v>43</v>
      </c>
      <c r="S41" s="17"/>
    </row>
    <row r="42" spans="1:19" s="9" customFormat="1" ht="21.95" customHeight="1" x14ac:dyDescent="0.15">
      <c r="A42" s="17">
        <v>37</v>
      </c>
      <c r="B42" s="17" t="s">
        <v>66</v>
      </c>
      <c r="C42" s="17" t="s">
        <v>41</v>
      </c>
      <c r="D42" s="17" t="s">
        <v>114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>
        <v>400</v>
      </c>
      <c r="R42" s="17" t="s">
        <v>43</v>
      </c>
      <c r="S42" s="17"/>
    </row>
    <row r="43" spans="1:19" s="9" customFormat="1" ht="21.95" customHeight="1" x14ac:dyDescent="0.15">
      <c r="A43" s="17">
        <v>38</v>
      </c>
      <c r="B43" s="17" t="s">
        <v>66</v>
      </c>
      <c r="C43" s="17" t="s">
        <v>41</v>
      </c>
      <c r="D43" s="17" t="s">
        <v>115</v>
      </c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>
        <v>400</v>
      </c>
      <c r="R43" s="17" t="s">
        <v>43</v>
      </c>
      <c r="S43" s="17"/>
    </row>
    <row r="44" spans="1:19" s="9" customFormat="1" ht="21.95" customHeight="1" x14ac:dyDescent="0.15">
      <c r="A44" s="17">
        <v>39</v>
      </c>
      <c r="B44" s="17" t="s">
        <v>66</v>
      </c>
      <c r="C44" s="17" t="s">
        <v>41</v>
      </c>
      <c r="D44" s="17" t="s">
        <v>116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>
        <v>400</v>
      </c>
      <c r="R44" s="17" t="s">
        <v>43</v>
      </c>
      <c r="S44" s="17"/>
    </row>
    <row r="45" spans="1:19" s="9" customFormat="1" ht="21.95" customHeight="1" x14ac:dyDescent="0.15">
      <c r="A45" s="17">
        <v>40</v>
      </c>
      <c r="B45" s="17" t="s">
        <v>66</v>
      </c>
      <c r="C45" s="17" t="s">
        <v>41</v>
      </c>
      <c r="D45" s="17" t="s">
        <v>117</v>
      </c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>
        <v>400</v>
      </c>
      <c r="R45" s="17" t="s">
        <v>43</v>
      </c>
      <c r="S45" s="17"/>
    </row>
    <row r="46" spans="1:19" s="9" customFormat="1" ht="21.95" customHeight="1" x14ac:dyDescent="0.15">
      <c r="A46" s="17">
        <v>41</v>
      </c>
      <c r="B46" s="17" t="s">
        <v>66</v>
      </c>
      <c r="C46" s="17" t="s">
        <v>41</v>
      </c>
      <c r="D46" s="17" t="s">
        <v>118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>
        <v>400</v>
      </c>
      <c r="R46" s="17" t="s">
        <v>43</v>
      </c>
      <c r="S46" s="17"/>
    </row>
    <row r="47" spans="1:19" s="9" customFormat="1" ht="21.95" customHeight="1" x14ac:dyDescent="0.15">
      <c r="A47" s="17">
        <v>42</v>
      </c>
      <c r="B47" s="17" t="s">
        <v>66</v>
      </c>
      <c r="C47" s="17" t="s">
        <v>41</v>
      </c>
      <c r="D47" s="17" t="s">
        <v>119</v>
      </c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>
        <v>400</v>
      </c>
      <c r="R47" s="17" t="s">
        <v>43</v>
      </c>
      <c r="S47" s="17"/>
    </row>
    <row r="48" spans="1:19" s="9" customFormat="1" ht="21.95" customHeight="1" x14ac:dyDescent="0.15">
      <c r="A48" s="17">
        <v>43</v>
      </c>
      <c r="B48" s="17" t="s">
        <v>66</v>
      </c>
      <c r="C48" s="17" t="s">
        <v>41</v>
      </c>
      <c r="D48" s="17" t="s">
        <v>120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>
        <v>400</v>
      </c>
      <c r="R48" s="17" t="s">
        <v>43</v>
      </c>
      <c r="S48" s="17"/>
    </row>
    <row r="49" spans="1:19" s="9" customFormat="1" ht="21.95" customHeight="1" x14ac:dyDescent="0.15">
      <c r="A49" s="17">
        <v>44</v>
      </c>
      <c r="B49" s="17" t="s">
        <v>66</v>
      </c>
      <c r="C49" s="17" t="s">
        <v>41</v>
      </c>
      <c r="D49" s="17" t="s">
        <v>121</v>
      </c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>
        <v>400</v>
      </c>
      <c r="R49" s="17" t="s">
        <v>43</v>
      </c>
      <c r="S49" s="17"/>
    </row>
    <row r="50" spans="1:19" s="9" customFormat="1" ht="21.95" customHeight="1" x14ac:dyDescent="0.15">
      <c r="A50" s="17">
        <v>45</v>
      </c>
      <c r="B50" s="17" t="s">
        <v>66</v>
      </c>
      <c r="C50" s="17" t="s">
        <v>41</v>
      </c>
      <c r="D50" s="17" t="s">
        <v>122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>
        <v>400</v>
      </c>
      <c r="R50" s="17" t="s">
        <v>49</v>
      </c>
      <c r="S50" s="17"/>
    </row>
    <row r="51" spans="1:19" s="9" customFormat="1" ht="21.95" customHeight="1" x14ac:dyDescent="0.15">
      <c r="A51" s="17">
        <v>46</v>
      </c>
      <c r="B51" s="17" t="s">
        <v>66</v>
      </c>
      <c r="C51" s="17" t="s">
        <v>41</v>
      </c>
      <c r="D51" s="17" t="s">
        <v>123</v>
      </c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>
        <v>400</v>
      </c>
      <c r="R51" s="17" t="s">
        <v>43</v>
      </c>
      <c r="S51" s="17"/>
    </row>
    <row r="52" spans="1:19" s="9" customFormat="1" ht="21.95" customHeight="1" x14ac:dyDescent="0.15">
      <c r="A52" s="17">
        <v>47</v>
      </c>
      <c r="B52" s="17" t="s">
        <v>66</v>
      </c>
      <c r="C52" s="17" t="s">
        <v>41</v>
      </c>
      <c r="D52" s="17" t="s">
        <v>124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>
        <v>400</v>
      </c>
      <c r="R52" s="17" t="s">
        <v>43</v>
      </c>
      <c r="S52" s="17"/>
    </row>
    <row r="53" spans="1:19" s="9" customFormat="1" ht="21.95" customHeight="1" x14ac:dyDescent="0.15">
      <c r="A53" s="17">
        <v>48</v>
      </c>
      <c r="B53" s="17" t="s">
        <v>66</v>
      </c>
      <c r="C53" s="17" t="s">
        <v>41</v>
      </c>
      <c r="D53" s="17" t="s">
        <v>125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>
        <v>400</v>
      </c>
      <c r="R53" s="17" t="s">
        <v>43</v>
      </c>
      <c r="S53" s="17"/>
    </row>
    <row r="54" spans="1:19" s="9" customFormat="1" ht="21.95" customHeight="1" x14ac:dyDescent="0.15">
      <c r="A54" s="17">
        <v>49</v>
      </c>
      <c r="B54" s="17" t="s">
        <v>66</v>
      </c>
      <c r="C54" s="17" t="s">
        <v>41</v>
      </c>
      <c r="D54" s="17" t="s">
        <v>126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>
        <v>400</v>
      </c>
      <c r="R54" s="17" t="s">
        <v>43</v>
      </c>
      <c r="S54" s="17"/>
    </row>
    <row r="55" spans="1:19" s="9" customFormat="1" ht="21.95" customHeight="1" x14ac:dyDescent="0.15">
      <c r="A55" s="17">
        <v>50</v>
      </c>
      <c r="B55" s="17" t="s">
        <v>66</v>
      </c>
      <c r="C55" s="17" t="s">
        <v>41</v>
      </c>
      <c r="D55" s="17" t="s">
        <v>127</v>
      </c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>
        <v>400</v>
      </c>
      <c r="R55" s="17" t="s">
        <v>49</v>
      </c>
      <c r="S55" s="17"/>
    </row>
    <row r="56" spans="1:19" s="9" customFormat="1" ht="21.95" customHeight="1" x14ac:dyDescent="0.15">
      <c r="A56" s="17">
        <v>51</v>
      </c>
      <c r="B56" s="17" t="s">
        <v>66</v>
      </c>
      <c r="C56" s="17" t="s">
        <v>41</v>
      </c>
      <c r="D56" s="17" t="s">
        <v>128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>
        <v>400</v>
      </c>
      <c r="R56" s="17" t="s">
        <v>43</v>
      </c>
      <c r="S56" s="17"/>
    </row>
    <row r="57" spans="1:19" s="9" customFormat="1" ht="21.95" customHeight="1" x14ac:dyDescent="0.15">
      <c r="A57" s="17">
        <v>52</v>
      </c>
      <c r="B57" s="17" t="s">
        <v>66</v>
      </c>
      <c r="C57" s="17" t="s">
        <v>41</v>
      </c>
      <c r="D57" s="17" t="s">
        <v>129</v>
      </c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>
        <v>400</v>
      </c>
      <c r="R57" s="17" t="s">
        <v>43</v>
      </c>
      <c r="S57" s="17"/>
    </row>
    <row r="58" spans="1:19" s="9" customFormat="1" ht="21.95" customHeight="1" x14ac:dyDescent="0.15">
      <c r="A58" s="17">
        <v>53</v>
      </c>
      <c r="B58" s="17" t="s">
        <v>72</v>
      </c>
      <c r="C58" s="17" t="s">
        <v>130</v>
      </c>
      <c r="D58" s="17" t="s">
        <v>131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>
        <v>400</v>
      </c>
      <c r="R58" s="17" t="s">
        <v>43</v>
      </c>
      <c r="S58" s="17"/>
    </row>
    <row r="59" spans="1:19" s="9" customFormat="1" ht="21.95" customHeight="1" x14ac:dyDescent="0.15">
      <c r="A59" s="17">
        <v>54</v>
      </c>
      <c r="B59" s="17" t="s">
        <v>67</v>
      </c>
      <c r="C59" s="17" t="s">
        <v>41</v>
      </c>
      <c r="D59" s="17" t="s">
        <v>132</v>
      </c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>
        <v>400</v>
      </c>
      <c r="R59" s="17" t="s">
        <v>43</v>
      </c>
      <c r="S59" s="17"/>
    </row>
    <row r="60" spans="1:19" s="9" customFormat="1" ht="21.95" customHeight="1" x14ac:dyDescent="0.15">
      <c r="A60" s="17">
        <v>55</v>
      </c>
      <c r="B60" s="17" t="s">
        <v>67</v>
      </c>
      <c r="C60" s="17" t="s">
        <v>41</v>
      </c>
      <c r="D60" s="17" t="s">
        <v>133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>
        <v>400</v>
      </c>
      <c r="R60" s="17" t="s">
        <v>43</v>
      </c>
      <c r="S60" s="17"/>
    </row>
    <row r="61" spans="1:19" s="9" customFormat="1" ht="21.95" customHeight="1" x14ac:dyDescent="0.15">
      <c r="A61" s="17">
        <v>56</v>
      </c>
      <c r="B61" s="17" t="s">
        <v>67</v>
      </c>
      <c r="C61" s="17" t="s">
        <v>41</v>
      </c>
      <c r="D61" s="17" t="s">
        <v>134</v>
      </c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>
        <v>400</v>
      </c>
      <c r="R61" s="17" t="s">
        <v>43</v>
      </c>
      <c r="S61" s="17"/>
    </row>
    <row r="62" spans="1:19" s="9" customFormat="1" ht="21.95" customHeight="1" x14ac:dyDescent="0.15">
      <c r="A62" s="17">
        <v>57</v>
      </c>
      <c r="B62" s="17" t="s">
        <v>67</v>
      </c>
      <c r="C62" s="17" t="s">
        <v>41</v>
      </c>
      <c r="D62" s="17" t="s">
        <v>135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>
        <v>400</v>
      </c>
      <c r="R62" s="17" t="s">
        <v>43</v>
      </c>
      <c r="S62" s="17"/>
    </row>
    <row r="63" spans="1:19" s="9" customFormat="1" ht="21.95" customHeight="1" x14ac:dyDescent="0.15">
      <c r="A63" s="17">
        <v>58</v>
      </c>
      <c r="B63" s="17" t="s">
        <v>67</v>
      </c>
      <c r="C63" s="17" t="s">
        <v>41</v>
      </c>
      <c r="D63" s="17" t="s">
        <v>136</v>
      </c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>
        <v>400</v>
      </c>
      <c r="R63" s="17" t="s">
        <v>43</v>
      </c>
      <c r="S63" s="17"/>
    </row>
    <row r="64" spans="1:19" s="9" customFormat="1" ht="21.95" customHeight="1" x14ac:dyDescent="0.15">
      <c r="A64" s="17">
        <v>59</v>
      </c>
      <c r="B64" s="17" t="s">
        <v>67</v>
      </c>
      <c r="C64" s="17" t="s">
        <v>41</v>
      </c>
      <c r="D64" s="17" t="s">
        <v>137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>
        <v>400</v>
      </c>
      <c r="R64" s="17" t="s">
        <v>43</v>
      </c>
      <c r="S64" s="17"/>
    </row>
    <row r="65" spans="1:19" s="9" customFormat="1" ht="21.95" customHeight="1" x14ac:dyDescent="0.15">
      <c r="A65" s="17">
        <v>60</v>
      </c>
      <c r="B65" s="17" t="s">
        <v>67</v>
      </c>
      <c r="C65" s="17" t="s">
        <v>41</v>
      </c>
      <c r="D65" s="17" t="s">
        <v>138</v>
      </c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>
        <v>400</v>
      </c>
      <c r="R65" s="17" t="s">
        <v>43</v>
      </c>
      <c r="S65" s="17"/>
    </row>
    <row r="66" spans="1:19" s="9" customFormat="1" ht="21.95" customHeight="1" x14ac:dyDescent="0.15">
      <c r="A66" s="17">
        <v>61</v>
      </c>
      <c r="B66" s="17" t="s">
        <v>77</v>
      </c>
      <c r="C66" s="17" t="s">
        <v>41</v>
      </c>
      <c r="D66" s="17" t="s">
        <v>139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>
        <v>400</v>
      </c>
      <c r="R66" s="17" t="s">
        <v>43</v>
      </c>
      <c r="S66" s="17"/>
    </row>
    <row r="67" spans="1:19" s="9" customFormat="1" ht="21.95" customHeight="1" x14ac:dyDescent="0.15">
      <c r="A67" s="17">
        <v>62</v>
      </c>
      <c r="B67" s="17" t="s">
        <v>77</v>
      </c>
      <c r="C67" s="17" t="s">
        <v>41</v>
      </c>
      <c r="D67" s="17" t="s">
        <v>140</v>
      </c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>
        <v>400</v>
      </c>
      <c r="R67" s="17" t="s">
        <v>43</v>
      </c>
      <c r="S67" s="17"/>
    </row>
    <row r="68" spans="1:19" s="9" customFormat="1" ht="21.95" customHeight="1" x14ac:dyDescent="0.15">
      <c r="A68" s="17">
        <v>63</v>
      </c>
      <c r="B68" s="17" t="s">
        <v>77</v>
      </c>
      <c r="C68" s="17" t="s">
        <v>41</v>
      </c>
      <c r="D68" s="17" t="s">
        <v>141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>
        <v>400</v>
      </c>
      <c r="R68" s="17" t="s">
        <v>43</v>
      </c>
      <c r="S68" s="17"/>
    </row>
    <row r="69" spans="1:19" s="9" customFormat="1" ht="21.95" customHeight="1" x14ac:dyDescent="0.15">
      <c r="A69" s="17">
        <v>64</v>
      </c>
      <c r="B69" s="17" t="s">
        <v>74</v>
      </c>
      <c r="C69" s="17" t="s">
        <v>41</v>
      </c>
      <c r="D69" s="17" t="s">
        <v>142</v>
      </c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>
        <v>400</v>
      </c>
      <c r="R69" s="17" t="s">
        <v>43</v>
      </c>
      <c r="S69" s="17"/>
    </row>
    <row r="70" spans="1:19" s="9" customFormat="1" ht="21.95" customHeight="1" x14ac:dyDescent="0.15">
      <c r="A70" s="17">
        <v>65</v>
      </c>
      <c r="B70" s="17" t="s">
        <v>76</v>
      </c>
      <c r="C70" s="17" t="s">
        <v>41</v>
      </c>
      <c r="D70" s="17" t="s">
        <v>143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>
        <v>400</v>
      </c>
      <c r="R70" s="17" t="s">
        <v>43</v>
      </c>
      <c r="S70" s="17"/>
    </row>
    <row r="71" spans="1:19" s="9" customFormat="1" ht="21.95" customHeight="1" x14ac:dyDescent="0.15">
      <c r="A71" s="17">
        <v>66</v>
      </c>
      <c r="B71" s="17" t="s">
        <v>76</v>
      </c>
      <c r="C71" s="17" t="s">
        <v>41</v>
      </c>
      <c r="D71" s="17" t="s">
        <v>144</v>
      </c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>
        <v>400</v>
      </c>
      <c r="R71" s="17" t="s">
        <v>43</v>
      </c>
      <c r="S71" s="17"/>
    </row>
    <row r="72" spans="1:19" s="9" customFormat="1" ht="21.95" customHeight="1" x14ac:dyDescent="0.15">
      <c r="A72" s="17">
        <v>67</v>
      </c>
      <c r="B72" s="17" t="s">
        <v>76</v>
      </c>
      <c r="C72" s="17" t="s">
        <v>41</v>
      </c>
      <c r="D72" s="17" t="s">
        <v>145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>
        <v>400</v>
      </c>
      <c r="R72" s="17" t="s">
        <v>43</v>
      </c>
      <c r="S72" s="17"/>
    </row>
    <row r="73" spans="1:19" s="9" customFormat="1" ht="21.95" customHeight="1" x14ac:dyDescent="0.15">
      <c r="A73" s="17">
        <v>68</v>
      </c>
      <c r="B73" s="17" t="s">
        <v>69</v>
      </c>
      <c r="C73" s="17" t="s">
        <v>82</v>
      </c>
      <c r="D73" s="17" t="s">
        <v>146</v>
      </c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>
        <v>400</v>
      </c>
      <c r="R73" s="17" t="s">
        <v>43</v>
      </c>
      <c r="S73" s="17"/>
    </row>
    <row r="74" spans="1:19" s="9" customFormat="1" ht="21.95" customHeight="1" x14ac:dyDescent="0.15">
      <c r="A74" s="17">
        <v>69</v>
      </c>
      <c r="B74" s="17" t="s">
        <v>78</v>
      </c>
      <c r="C74" s="17" t="s">
        <v>82</v>
      </c>
      <c r="D74" s="17" t="s">
        <v>147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>
        <v>400</v>
      </c>
      <c r="R74" s="17" t="s">
        <v>43</v>
      </c>
      <c r="S74" s="17"/>
    </row>
    <row r="75" spans="1:19" s="9" customFormat="1" ht="21.95" customHeight="1" x14ac:dyDescent="0.15">
      <c r="A75" s="17">
        <v>70</v>
      </c>
      <c r="B75" s="17" t="s">
        <v>80</v>
      </c>
      <c r="C75" s="17" t="s">
        <v>41</v>
      </c>
      <c r="D75" s="17" t="s">
        <v>148</v>
      </c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>
        <v>400</v>
      </c>
      <c r="R75" s="17" t="s">
        <v>43</v>
      </c>
      <c r="S75" s="17"/>
    </row>
    <row r="76" spans="1:19" s="9" customFormat="1" ht="21.95" customHeight="1" x14ac:dyDescent="0.15">
      <c r="A76" s="17">
        <v>71</v>
      </c>
      <c r="B76" s="17" t="s">
        <v>80</v>
      </c>
      <c r="C76" s="17" t="s">
        <v>41</v>
      </c>
      <c r="D76" s="17" t="s">
        <v>149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>
        <v>400</v>
      </c>
      <c r="R76" s="17" t="s">
        <v>43</v>
      </c>
      <c r="S76" s="17"/>
    </row>
    <row r="77" spans="1:19" s="9" customFormat="1" ht="21.95" customHeight="1" x14ac:dyDescent="0.15">
      <c r="A77" s="17">
        <v>72</v>
      </c>
      <c r="B77" s="17" t="s">
        <v>80</v>
      </c>
      <c r="C77" s="17" t="s">
        <v>41</v>
      </c>
      <c r="D77" s="17" t="s">
        <v>150</v>
      </c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>
        <v>400</v>
      </c>
      <c r="R77" s="17" t="s">
        <v>43</v>
      </c>
      <c r="S77" s="17"/>
    </row>
    <row r="78" spans="1:19" s="9" customFormat="1" ht="21.95" customHeight="1" x14ac:dyDescent="0.15">
      <c r="A78" s="17">
        <v>73</v>
      </c>
      <c r="B78" s="17" t="s">
        <v>80</v>
      </c>
      <c r="C78" s="17" t="s">
        <v>41</v>
      </c>
      <c r="D78" s="17" t="s">
        <v>151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>
        <v>400</v>
      </c>
      <c r="R78" s="17" t="s">
        <v>43</v>
      </c>
      <c r="S78" s="17"/>
    </row>
    <row r="79" spans="1:19" s="9" customFormat="1" ht="21.95" customHeight="1" x14ac:dyDescent="0.15">
      <c r="A79" s="17">
        <v>74</v>
      </c>
      <c r="B79" s="17" t="s">
        <v>80</v>
      </c>
      <c r="C79" s="17" t="s">
        <v>41</v>
      </c>
      <c r="D79" s="17" t="s">
        <v>152</v>
      </c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>
        <v>400</v>
      </c>
      <c r="R79" s="17" t="s">
        <v>43</v>
      </c>
      <c r="S79" s="17"/>
    </row>
    <row r="80" spans="1:19" s="9" customFormat="1" ht="21.95" customHeight="1" x14ac:dyDescent="0.15">
      <c r="A80" s="17">
        <v>75</v>
      </c>
      <c r="B80" s="17" t="s">
        <v>80</v>
      </c>
      <c r="C80" s="17" t="s">
        <v>41</v>
      </c>
      <c r="D80" s="17" t="s">
        <v>153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>
        <v>400</v>
      </c>
      <c r="R80" s="17" t="s">
        <v>43</v>
      </c>
      <c r="S80" s="17"/>
    </row>
    <row r="81" spans="1:19" s="9" customFormat="1" ht="21.95" customHeight="1" x14ac:dyDescent="0.15">
      <c r="A81" s="17">
        <v>76</v>
      </c>
      <c r="B81" s="17" t="s">
        <v>80</v>
      </c>
      <c r="C81" s="17" t="s">
        <v>41</v>
      </c>
      <c r="D81" s="17" t="s">
        <v>154</v>
      </c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>
        <v>400</v>
      </c>
      <c r="R81" s="17" t="s">
        <v>43</v>
      </c>
      <c r="S81" s="17"/>
    </row>
    <row r="82" spans="1:19" s="9" customFormat="1" ht="21.95" customHeight="1" x14ac:dyDescent="0.15">
      <c r="A82" s="17">
        <v>77</v>
      </c>
      <c r="B82" s="17" t="s">
        <v>80</v>
      </c>
      <c r="C82" s="17" t="s">
        <v>41</v>
      </c>
      <c r="D82" s="17" t="s">
        <v>155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>
        <v>400</v>
      </c>
      <c r="R82" s="17" t="s">
        <v>43</v>
      </c>
      <c r="S82" s="17"/>
    </row>
    <row r="83" spans="1:19" s="9" customFormat="1" ht="21.95" customHeight="1" x14ac:dyDescent="0.15">
      <c r="A83" s="17">
        <v>78</v>
      </c>
      <c r="B83" s="17" t="s">
        <v>80</v>
      </c>
      <c r="C83" s="17" t="s">
        <v>41</v>
      </c>
      <c r="D83" s="17" t="s">
        <v>156</v>
      </c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>
        <v>400</v>
      </c>
      <c r="R83" s="17" t="s">
        <v>43</v>
      </c>
      <c r="S83" s="17"/>
    </row>
    <row r="84" spans="1:19" s="9" customFormat="1" ht="21.95" customHeight="1" x14ac:dyDescent="0.15">
      <c r="A84" s="17">
        <v>79</v>
      </c>
      <c r="B84" s="17" t="s">
        <v>80</v>
      </c>
      <c r="C84" s="17" t="s">
        <v>41</v>
      </c>
      <c r="D84" s="17" t="s">
        <v>157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>
        <v>400</v>
      </c>
      <c r="R84" s="17" t="s">
        <v>43</v>
      </c>
      <c r="S84" s="17"/>
    </row>
    <row r="85" spans="1:19" s="9" customFormat="1" ht="21.95" customHeight="1" x14ac:dyDescent="0.15">
      <c r="A85" s="17">
        <v>80</v>
      </c>
      <c r="B85" s="17" t="s">
        <v>80</v>
      </c>
      <c r="C85" s="17" t="s">
        <v>41</v>
      </c>
      <c r="D85" s="17" t="s">
        <v>158</v>
      </c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>
        <v>400</v>
      </c>
      <c r="R85" s="17" t="s">
        <v>43</v>
      </c>
      <c r="S85" s="17"/>
    </row>
    <row r="86" spans="1:19" s="9" customFormat="1" ht="21.95" customHeight="1" x14ac:dyDescent="0.15">
      <c r="A86" s="17">
        <v>81</v>
      </c>
      <c r="B86" s="17" t="s">
        <v>80</v>
      </c>
      <c r="C86" s="17" t="s">
        <v>41</v>
      </c>
      <c r="D86" s="17" t="s">
        <v>159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>
        <v>400</v>
      </c>
      <c r="R86" s="17" t="s">
        <v>43</v>
      </c>
      <c r="S86" s="17"/>
    </row>
    <row r="87" spans="1:19" s="9" customFormat="1" ht="21.95" customHeight="1" x14ac:dyDescent="0.15">
      <c r="A87" s="17">
        <v>82</v>
      </c>
      <c r="B87" s="17" t="s">
        <v>80</v>
      </c>
      <c r="C87" s="17" t="s">
        <v>41</v>
      </c>
      <c r="D87" s="17" t="s">
        <v>160</v>
      </c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>
        <v>400</v>
      </c>
      <c r="R87" s="17" t="s">
        <v>43</v>
      </c>
      <c r="S87" s="17"/>
    </row>
    <row r="88" spans="1:19" s="9" customFormat="1" ht="21.95" customHeight="1" x14ac:dyDescent="0.15">
      <c r="A88" s="17">
        <v>83</v>
      </c>
      <c r="B88" s="17" t="s">
        <v>80</v>
      </c>
      <c r="C88" s="17" t="s">
        <v>41</v>
      </c>
      <c r="D88" s="17" t="s">
        <v>161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>
        <v>400</v>
      </c>
      <c r="R88" s="17" t="s">
        <v>43</v>
      </c>
      <c r="S88" s="17"/>
    </row>
    <row r="89" spans="1:19" s="9" customFormat="1" ht="21.95" customHeight="1" x14ac:dyDescent="0.15">
      <c r="A89" s="17">
        <v>84</v>
      </c>
      <c r="B89" s="17" t="s">
        <v>80</v>
      </c>
      <c r="C89" s="17" t="s">
        <v>41</v>
      </c>
      <c r="D89" s="17" t="s">
        <v>162</v>
      </c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>
        <v>400</v>
      </c>
      <c r="R89" s="17" t="s">
        <v>43</v>
      </c>
      <c r="S89" s="17"/>
    </row>
    <row r="90" spans="1:19" s="9" customFormat="1" ht="21.95" customHeight="1" x14ac:dyDescent="0.15">
      <c r="A90" s="17">
        <v>85</v>
      </c>
      <c r="B90" s="17" t="s">
        <v>65</v>
      </c>
      <c r="C90" s="17" t="s">
        <v>41</v>
      </c>
      <c r="D90" s="17" t="s">
        <v>163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>
        <v>400</v>
      </c>
      <c r="R90" s="17" t="s">
        <v>43</v>
      </c>
      <c r="S90" s="17"/>
    </row>
    <row r="91" spans="1:19" s="9" customFormat="1" ht="21.95" customHeight="1" x14ac:dyDescent="0.15">
      <c r="A91" s="17">
        <v>86</v>
      </c>
      <c r="B91" s="17" t="s">
        <v>65</v>
      </c>
      <c r="C91" s="17" t="s">
        <v>41</v>
      </c>
      <c r="D91" s="17" t="s">
        <v>164</v>
      </c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>
        <v>400</v>
      </c>
      <c r="R91" s="17" t="s">
        <v>43</v>
      </c>
      <c r="S91" s="17"/>
    </row>
    <row r="92" spans="1:19" s="9" customFormat="1" ht="21.95" customHeight="1" x14ac:dyDescent="0.15">
      <c r="A92" s="17">
        <v>87</v>
      </c>
      <c r="B92" s="17" t="s">
        <v>65</v>
      </c>
      <c r="C92" s="17" t="s">
        <v>41</v>
      </c>
      <c r="D92" s="17" t="s">
        <v>165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>
        <v>400</v>
      </c>
      <c r="R92" s="17" t="s">
        <v>43</v>
      </c>
      <c r="S92" s="17"/>
    </row>
    <row r="93" spans="1:19" s="9" customFormat="1" ht="21.95" customHeight="1" x14ac:dyDescent="0.15">
      <c r="A93" s="17">
        <v>88</v>
      </c>
      <c r="B93" s="17" t="s">
        <v>65</v>
      </c>
      <c r="C93" s="17" t="s">
        <v>41</v>
      </c>
      <c r="D93" s="17" t="s">
        <v>166</v>
      </c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>
        <v>400</v>
      </c>
      <c r="R93" s="17" t="s">
        <v>43</v>
      </c>
      <c r="S93" s="17"/>
    </row>
    <row r="94" spans="1:19" s="9" customFormat="1" ht="21.95" customHeight="1" x14ac:dyDescent="0.15">
      <c r="A94" s="17">
        <v>89</v>
      </c>
      <c r="B94" s="17" t="s">
        <v>65</v>
      </c>
      <c r="C94" s="17" t="s">
        <v>41</v>
      </c>
      <c r="D94" s="17" t="s">
        <v>167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>
        <v>400</v>
      </c>
      <c r="R94" s="17" t="s">
        <v>43</v>
      </c>
      <c r="S94" s="17"/>
    </row>
    <row r="95" spans="1:19" s="9" customFormat="1" ht="21.95" customHeight="1" x14ac:dyDescent="0.15">
      <c r="A95" s="17">
        <v>90</v>
      </c>
      <c r="B95" s="17" t="s">
        <v>65</v>
      </c>
      <c r="C95" s="17" t="s">
        <v>41</v>
      </c>
      <c r="D95" s="17" t="s">
        <v>168</v>
      </c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>
        <v>400</v>
      </c>
      <c r="R95" s="17" t="s">
        <v>43</v>
      </c>
      <c r="S95" s="17"/>
    </row>
    <row r="96" spans="1:19" s="9" customFormat="1" ht="21.95" customHeight="1" x14ac:dyDescent="0.15">
      <c r="A96" s="17">
        <v>91</v>
      </c>
      <c r="B96" s="17" t="s">
        <v>65</v>
      </c>
      <c r="C96" s="17" t="s">
        <v>41</v>
      </c>
      <c r="D96" s="17" t="s">
        <v>169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>
        <v>400</v>
      </c>
      <c r="R96" s="17" t="s">
        <v>43</v>
      </c>
      <c r="S96" s="17"/>
    </row>
    <row r="97" spans="1:19" s="9" customFormat="1" ht="21.95" customHeight="1" x14ac:dyDescent="0.15">
      <c r="A97" s="17">
        <v>92</v>
      </c>
      <c r="B97" s="17" t="s">
        <v>65</v>
      </c>
      <c r="C97" s="17" t="s">
        <v>41</v>
      </c>
      <c r="D97" s="17" t="s">
        <v>170</v>
      </c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>
        <v>400</v>
      </c>
      <c r="R97" s="17" t="s">
        <v>43</v>
      </c>
      <c r="S97" s="17"/>
    </row>
    <row r="98" spans="1:19" s="9" customFormat="1" ht="21.95" customHeight="1" x14ac:dyDescent="0.15">
      <c r="A98" s="17">
        <v>93</v>
      </c>
      <c r="B98" s="17" t="s">
        <v>65</v>
      </c>
      <c r="C98" s="17" t="s">
        <v>41</v>
      </c>
      <c r="D98" s="17" t="s">
        <v>171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>
        <v>400</v>
      </c>
      <c r="R98" s="17" t="s">
        <v>43</v>
      </c>
      <c r="S98" s="17"/>
    </row>
    <row r="99" spans="1:19" s="9" customFormat="1" ht="21.95" customHeight="1" x14ac:dyDescent="0.15">
      <c r="A99" s="17">
        <v>94</v>
      </c>
      <c r="B99" s="17" t="s">
        <v>65</v>
      </c>
      <c r="C99" s="17" t="s">
        <v>41</v>
      </c>
      <c r="D99" s="17" t="s">
        <v>172</v>
      </c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>
        <v>400</v>
      </c>
      <c r="R99" s="17" t="s">
        <v>43</v>
      </c>
      <c r="S99" s="17"/>
    </row>
    <row r="100" spans="1:19" s="9" customFormat="1" ht="21.95" customHeight="1" x14ac:dyDescent="0.15">
      <c r="A100" s="17">
        <v>95</v>
      </c>
      <c r="B100" s="17" t="s">
        <v>65</v>
      </c>
      <c r="C100" s="17" t="s">
        <v>41</v>
      </c>
      <c r="D100" s="17" t="s">
        <v>173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>
        <v>400</v>
      </c>
      <c r="R100" s="17" t="s">
        <v>43</v>
      </c>
      <c r="S100" s="17"/>
    </row>
    <row r="101" spans="1:19" x14ac:dyDescent="0.15">
      <c r="Q101" s="10">
        <f>SUM(Q6:Q100)</f>
        <v>38000</v>
      </c>
    </row>
  </sheetData>
  <sheetProtection formatCells="0" formatColumns="0" formatRows="0" insertHyperlinks="0" autoFilter="0" pivotTables="0"/>
  <protectedRanges>
    <protectedRange sqref="C59:C65" name="区域1_1"/>
    <protectedRange sqref="F59:F64" name="区域2_1_1"/>
    <protectedRange sqref="H62:H65" name="区域7"/>
    <protectedRange sqref="M59:M63" name="区域3"/>
    <protectedRange sqref="N62:N63" name="区域1_1_1_1"/>
    <protectedRange sqref="P61:P65" name="区域7_2"/>
    <protectedRange sqref="G65" name="区域2_2_2"/>
    <protectedRange sqref="O65" name="区域4_1_2"/>
    <protectedRange sqref="D59:D65" name="区域1_1_1"/>
    <protectedRange sqref="F59:F63" name="区域2"/>
    <protectedRange sqref="G59:G64" name="区域2_1_1_1"/>
    <protectedRange sqref="H59:H65" name="区域2_2"/>
    <protectedRange sqref="I62:I65" name="区域7_1"/>
    <protectedRange sqref="J59:J65" name="区域7_1_1"/>
    <protectedRange sqref="N59:N63" name="区域3_6"/>
    <protectedRange sqref="O61" name="区域4"/>
    <protectedRange sqref="O62:O63" name="区域1_1_1_1_2"/>
    <protectedRange sqref="P61:P63" name="区域4_1"/>
    <protectedRange sqref="F65" name="区域2_5"/>
    <protectedRange sqref="H65" name="区域2_2_2_1"/>
    <protectedRange sqref="O65" name="区域4_3"/>
    <protectedRange sqref="P65" name="区域4_1_2_2"/>
    <protectedRange sqref="P59:P60" name="区域4_1_7"/>
    <protectedRange sqref="N67:N68" name="区域2_1"/>
    <protectedRange sqref="D67:F68" name="区域1"/>
    <protectedRange sqref="L67:L68" name="区域3_5"/>
    <protectedRange sqref="K67:K68" name="区域2_5_2"/>
    <protectedRange sqref="J67:J68" name="区域2_1_3"/>
    <protectedRange sqref="O67:O68" name="区域1_1_3"/>
    <protectedRange sqref="O70" name="区域1_4"/>
    <protectedRange sqref="P70" name="区域1_1_4"/>
  </protectedRanges>
  <mergeCells count="8">
    <mergeCell ref="A1:R1"/>
    <mergeCell ref="A2:S2"/>
    <mergeCell ref="B3:C3"/>
    <mergeCell ref="D3:J3"/>
    <mergeCell ref="K3:N3"/>
    <mergeCell ref="O3:Q3"/>
    <mergeCell ref="A3:A5"/>
    <mergeCell ref="S4:S5"/>
  </mergeCells>
  <phoneticPr fontId="5" type="noConversion"/>
  <dataValidations count="3">
    <dataValidation type="textLength" operator="equal" allowBlank="1" showInputMessage="1" showErrorMessage="1" sqref="F91:F94" xr:uid="{00000000-0002-0000-0000-000000000000}">
      <formula1>18</formula1>
    </dataValidation>
    <dataValidation type="list" allowBlank="1" showInputMessage="1" showErrorMessage="1" sqref="B6:B100" xr:uid="{00000000-0002-0000-0000-000001000000}">
      <formula1>学校名称</formula1>
    </dataValidation>
    <dataValidation type="list" allowBlank="1" showInputMessage="1" showErrorMessage="1" sqref="R6:R100" xr:uid="{00000000-0002-0000-0000-000002000000}">
      <formula1>困难类型</formula1>
    </dataValidation>
  </dataValidations>
  <pageMargins left="0.25" right="0.25" top="0.75" bottom="0.75" header="0.3" footer="0.3"/>
  <pageSetup paperSize="9" orientation="landscape" horizontalDpi="200" verticalDpi="30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2"/>
  <sheetViews>
    <sheetView workbookViewId="0">
      <selection activeCell="S10" sqref="S10"/>
    </sheetView>
  </sheetViews>
  <sheetFormatPr defaultColWidth="9" defaultRowHeight="13.5" x14ac:dyDescent="0.15"/>
  <cols>
    <col min="1" max="1" width="13.875" customWidth="1"/>
    <col min="2" max="15" width="7.125" customWidth="1"/>
  </cols>
  <sheetData>
    <row r="1" spans="1:16" ht="22.5" x14ac:dyDescent="0.15">
      <c r="A1" s="29" t="s">
        <v>174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6" s="2" customFormat="1" ht="76.5" customHeight="1" x14ac:dyDescent="0.15">
      <c r="A2" s="3" t="s">
        <v>8</v>
      </c>
      <c r="B2" s="3" t="s">
        <v>48</v>
      </c>
      <c r="C2" s="3" t="s">
        <v>43</v>
      </c>
      <c r="D2" s="3" t="s">
        <v>49</v>
      </c>
      <c r="E2" s="3" t="s">
        <v>50</v>
      </c>
      <c r="F2" s="3" t="s">
        <v>51</v>
      </c>
      <c r="G2" s="3" t="s">
        <v>52</v>
      </c>
      <c r="H2" s="3" t="s">
        <v>53</v>
      </c>
      <c r="I2" s="3" t="s">
        <v>54</v>
      </c>
      <c r="J2" s="3" t="s">
        <v>55</v>
      </c>
      <c r="K2" s="3" t="s">
        <v>56</v>
      </c>
      <c r="L2" s="3" t="s">
        <v>57</v>
      </c>
      <c r="M2" s="3" t="s">
        <v>58</v>
      </c>
      <c r="N2" s="3" t="s">
        <v>59</v>
      </c>
      <c r="O2" s="3" t="s">
        <v>60</v>
      </c>
      <c r="P2" s="3" t="s">
        <v>61</v>
      </c>
    </row>
    <row r="3" spans="1:16" ht="18" customHeight="1" x14ac:dyDescent="0.15">
      <c r="A3" s="4" t="s">
        <v>62</v>
      </c>
      <c r="B3" s="5">
        <f t="shared" ref="B3:B22" si="0">C3+D3+E3+F3+G3+H3+I3+J3+K3+L3+M3+N3+O3</f>
        <v>95</v>
      </c>
      <c r="C3" s="5">
        <f t="shared" ref="C3:O3" si="1">SUM(C4:C22)</f>
        <v>91</v>
      </c>
      <c r="D3" s="5">
        <f t="shared" si="1"/>
        <v>2</v>
      </c>
      <c r="E3" s="5">
        <f t="shared" si="1"/>
        <v>0</v>
      </c>
      <c r="F3" s="5">
        <f t="shared" si="1"/>
        <v>0</v>
      </c>
      <c r="G3" s="5">
        <f t="shared" si="1"/>
        <v>2</v>
      </c>
      <c r="H3" s="5">
        <f t="shared" si="1"/>
        <v>0</v>
      </c>
      <c r="I3" s="5">
        <f t="shared" si="1"/>
        <v>0</v>
      </c>
      <c r="J3" s="5">
        <f t="shared" si="1"/>
        <v>0</v>
      </c>
      <c r="K3" s="5">
        <f t="shared" si="1"/>
        <v>0</v>
      </c>
      <c r="L3" s="5">
        <f t="shared" si="1"/>
        <v>0</v>
      </c>
      <c r="M3" s="5">
        <f t="shared" si="1"/>
        <v>0</v>
      </c>
      <c r="N3" s="5">
        <f t="shared" si="1"/>
        <v>0</v>
      </c>
      <c r="O3" s="5">
        <f t="shared" si="1"/>
        <v>0</v>
      </c>
      <c r="P3" s="5">
        <f t="shared" ref="P3" si="2">SUM(P4:P22)</f>
        <v>0</v>
      </c>
    </row>
    <row r="4" spans="1:16" ht="18" customHeight="1" x14ac:dyDescent="0.15">
      <c r="A4" s="6" t="s">
        <v>63</v>
      </c>
      <c r="B4" s="7">
        <f t="shared" si="0"/>
        <v>10</v>
      </c>
      <c r="C4" s="7">
        <f>COUNTIFS(名单表!B6:B656,"夏理逊小学",名单表!R6:R656,"脱贫家庭学生")</f>
        <v>10</v>
      </c>
      <c r="D4" s="7">
        <f>COUNTIFS(名单表!B6:B656,"夏理逊小学",名单表!R6:R656,"脱贫不稳定家庭学生")</f>
        <v>0</v>
      </c>
      <c r="E4" s="7">
        <f>COUNTIFS(名单表!B6:B656,"夏理逊小学",名单表!R6:R656,"风险未消除家庭学生")</f>
        <v>0</v>
      </c>
      <c r="F4" s="7">
        <f>COUNTIFS(名单表!B6:B656,"夏理逊小学",名单表!R6:R656,"边缘易致贫家庭学生")</f>
        <v>0</v>
      </c>
      <c r="G4" s="7">
        <f>COUNTIFS(名单表!B6:B656,"夏理逊小学",名单表!R6:R656,"突发严重困难家庭学生")</f>
        <v>0</v>
      </c>
      <c r="H4" s="7">
        <f>COUNTIFS(名单表!B6:B656,"夏理逊小学",名单表!R6:R656,"城乡低保学生")</f>
        <v>0</v>
      </c>
      <c r="I4" s="7">
        <f>COUNTIFS(名单表!B6:B656,"夏理逊小学",名单表!R6:R656,"城乡低保家庭学生")</f>
        <v>0</v>
      </c>
      <c r="J4" s="7">
        <f>COUNTIFS(名单表!B6:B656,"夏理逊小学",名单表!R6:R656,"特困救助学生")</f>
        <v>0</v>
      </c>
      <c r="K4" s="7">
        <f>COUNTIFS(名单表!B6:B656,"夏理逊小学",名单表!R6:R656,"孤儿学生")</f>
        <v>0</v>
      </c>
      <c r="L4" s="7">
        <f>COUNTIFS(名单表!B6:B656,"夏理逊小学",名单表!R6:R656,"残疾学生")</f>
        <v>0</v>
      </c>
      <c r="M4" s="7">
        <f>COUNTIFS(名单表!B6:B656,"夏理逊小学",名单表!R6:R656,"残疾人子女学生")</f>
        <v>0</v>
      </c>
      <c r="N4" s="7">
        <f>COUNTIFS(名单表!B6:B656,"夏理逊小学",名单表!R6:R656,"事实无人抚养学生")</f>
        <v>0</v>
      </c>
      <c r="O4" s="7">
        <f>COUNTIFS(名单表!B6:B656,"夏理逊小学",名单表!R6:R656,"经济困难单亲家庭学生")</f>
        <v>0</v>
      </c>
      <c r="P4" s="7">
        <f>COUNTIFS(名单表!B6:B656,"夏理逊小学",名单表!R6:R656,"其他家庭经济困难")</f>
        <v>0</v>
      </c>
    </row>
    <row r="5" spans="1:16" ht="18" customHeight="1" x14ac:dyDescent="0.15">
      <c r="A5" s="6" t="s">
        <v>64</v>
      </c>
      <c r="B5" s="8">
        <f t="shared" si="0"/>
        <v>13</v>
      </c>
      <c r="C5" s="8">
        <f>COUNTIFS(名单表!B6:B656,"中山路第一小学",名单表!R6:R656,"脱贫家庭学生")</f>
        <v>11</v>
      </c>
      <c r="D5" s="8">
        <f>COUNTIFS(名单表!B6:B656,"中山路第一小学",名单表!R6:R656,"脱贫不稳定家庭学生")</f>
        <v>0</v>
      </c>
      <c r="E5" s="8">
        <f>COUNTIFS(名单表!B6:B656,"中山路第一小学",名单表!R6:R656,"风险未消除家庭学生")</f>
        <v>0</v>
      </c>
      <c r="F5" s="8">
        <f>COUNTIFS(名单表!B6:B656,"中山路第一小学",名单表!R6:R656,"边缘易致贫家庭学生")</f>
        <v>0</v>
      </c>
      <c r="G5" s="8">
        <f>COUNTIFS(名单表!B6:B656,"中山路第一小学",名单表!R6:R656,"突发严重困难家庭学生")</f>
        <v>2</v>
      </c>
      <c r="H5" s="8">
        <f>COUNTIFS(名单表!B6:B656,"中山路第一小学",名单表!R6:R656,"城乡低保学生")</f>
        <v>0</v>
      </c>
      <c r="I5" s="8">
        <f>COUNTIFS(名单表!B6:B656,"中山路第一小学",名单表!R6:R656,"城乡低保家庭学生")</f>
        <v>0</v>
      </c>
      <c r="J5" s="8">
        <f>COUNTIFS(名单表!B6:B656,"中山路第一小学",名单表!R6:R656,"特困救助学生")</f>
        <v>0</v>
      </c>
      <c r="K5" s="8">
        <f>COUNTIFS(名单表!B6:B656,"中山路第一小学",名单表!R6:R656,"孤儿学生")</f>
        <v>0</v>
      </c>
      <c r="L5" s="8">
        <f>COUNTIFS(名单表!B6:B656,"中山路第一小学",名单表!R6:R656,"残疾学生")</f>
        <v>0</v>
      </c>
      <c r="M5" s="8">
        <f>COUNTIFS(名单表!B6:B656,"中山路第一小学",名单表!R6:R656,"残疾人子女学生")</f>
        <v>0</v>
      </c>
      <c r="N5" s="8">
        <f>COUNTIFS(名单表!B6:B656,"中山路第一小学",名单表!R6:R656,"事实无人抚养学生")</f>
        <v>0</v>
      </c>
      <c r="O5" s="8">
        <f>COUNTIFS(名单表!B6:B656,"中山路第一小学",名单表!R6:R656,"经济困难单亲家庭学生")</f>
        <v>0</v>
      </c>
      <c r="P5" s="8">
        <f>COUNTIFS(名单表!B6:B656,"中山路第一小学",名单表!R6:R656,"其他家庭经济困难")</f>
        <v>0</v>
      </c>
    </row>
    <row r="6" spans="1:16" ht="18" customHeight="1" x14ac:dyDescent="0.15">
      <c r="A6" s="6" t="s">
        <v>65</v>
      </c>
      <c r="B6" s="7">
        <f t="shared" si="0"/>
        <v>11</v>
      </c>
      <c r="C6" s="7">
        <f>COUNTIFS(名单表!B6:B656,"开高附小",名单表!R6:R656,"脱贫家庭学生")</f>
        <v>11</v>
      </c>
      <c r="D6" s="7">
        <f>COUNTIFS(名单表!B6:B656,"开高附小",名单表!R6:R656,"脱贫不稳定家庭学生")</f>
        <v>0</v>
      </c>
      <c r="E6" s="7">
        <f>COUNTIFS(名单表!B6:B656,"开高附小",名单表!R6:R656,"风险未消除家庭学生")</f>
        <v>0</v>
      </c>
      <c r="F6" s="7">
        <f>COUNTIFS(名单表!B6:B656,"开高附小",名单表!R6:R656,"边缘易致贫家庭学生")</f>
        <v>0</v>
      </c>
      <c r="G6" s="7">
        <f>COUNTIFS(名单表!B6:B656,"开高附小",名单表!R6:R656,"突发严重困难家庭学生")</f>
        <v>0</v>
      </c>
      <c r="H6" s="7">
        <f>COUNTIFS(名单表!B6:B656,"开高附小",名单表!R6:R656,"城乡低保学生")</f>
        <v>0</v>
      </c>
      <c r="I6" s="7">
        <f>COUNTIFS(名单表!B6:B656,"开高附小",名单表!R6:R656,"城乡低保家庭学生")</f>
        <v>0</v>
      </c>
      <c r="J6" s="7">
        <f>COUNTIFS(名单表!B6:B656,"开高附小",名单表!R6:R656,"特困救助学生")</f>
        <v>0</v>
      </c>
      <c r="K6" s="7">
        <f>COUNTIFS(名单表!B6:B656,"开高附小",名单表!R6:R656,"孤儿学生")</f>
        <v>0</v>
      </c>
      <c r="L6" s="7">
        <f>COUNTIFS(名单表!B6:B656,"开高附小",名单表!R6:R656,"残疾学生")</f>
        <v>0</v>
      </c>
      <c r="M6" s="7">
        <f>COUNTIFS(名单表!B6:B656,"开高附小",名单表!R6:R656,"残疾人子女学生")</f>
        <v>0</v>
      </c>
      <c r="N6" s="7">
        <f>COUNTIFS(名单表!B6:B656,"开高附小",名单表!R6:R656,"事实无人抚养学生")</f>
        <v>0</v>
      </c>
      <c r="O6" s="7">
        <f>COUNTIFS(名单表!B6:B656,"开高附小",名单表!R6:R656,"经济困难单亲家庭学生")</f>
        <v>0</v>
      </c>
      <c r="P6" s="7">
        <f>COUNTIFS(名单表!B6:B656,"开高附小",名单表!R6:R656,"其他家庭经济困难")</f>
        <v>0</v>
      </c>
    </row>
    <row r="7" spans="1:16" ht="18" customHeight="1" x14ac:dyDescent="0.15">
      <c r="A7" s="6" t="s">
        <v>66</v>
      </c>
      <c r="B7" s="8">
        <f t="shared" si="0"/>
        <v>20</v>
      </c>
      <c r="C7" s="8">
        <f>COUNTIFS(名单表!B6:B656,"五一路一小",名单表!R6:R656,"脱贫家庭学生")</f>
        <v>18</v>
      </c>
      <c r="D7" s="8">
        <f>COUNTIFS(名单表!B6:B656,"五一路一小",名单表!R6:R656,"脱贫不稳定家庭学生")</f>
        <v>2</v>
      </c>
      <c r="E7" s="8">
        <f>COUNTIFS(名单表!B6:B656,"五一路一小",名单表!R6:R656,"风险未消除家庭学生")</f>
        <v>0</v>
      </c>
      <c r="F7" s="8">
        <f>COUNTIFS(名单表!B6:B656,"五一路一小",名单表!R6:R656,"边缘易致贫家庭学生")</f>
        <v>0</v>
      </c>
      <c r="G7" s="8">
        <f>COUNTIFS(名单表!B6:B656,"五一路一小",名单表!R6:R656,"突发严重困难家庭学生")</f>
        <v>0</v>
      </c>
      <c r="H7" s="8">
        <f>COUNTIFS(名单表!B6:B656,"五一路一小",名单表!R6:R656,"城乡低保学生")</f>
        <v>0</v>
      </c>
      <c r="I7" s="8">
        <f>COUNTIFS(名单表!B6:B656,"五一路一小",名单表!R6:R656,"城乡低保家庭学生")</f>
        <v>0</v>
      </c>
      <c r="J7" s="8">
        <f>COUNTIFS(名单表!B6:B656,"五一路一小",名单表!R6:R656,"特困救助学生")</f>
        <v>0</v>
      </c>
      <c r="K7" s="8">
        <f>COUNTIFS(名单表!B6:B656,"五一路一小",名单表!R6:R656,"孤儿学生")</f>
        <v>0</v>
      </c>
      <c r="L7" s="8">
        <f>COUNTIFS(名单表!B6:B656,"五一路一小",名单表!R6:R656,"残疾学生")</f>
        <v>0</v>
      </c>
      <c r="M7" s="8">
        <f>COUNTIFS(名单表!B6:B656,"五一路一小",名单表!R6:R656,"残疾人子女学生")</f>
        <v>0</v>
      </c>
      <c r="N7" s="8">
        <f>COUNTIFS(名单表!B6:B656,"五一路一小",名单表!R6:R656,"事实无人抚养学生")</f>
        <v>0</v>
      </c>
      <c r="O7" s="8">
        <f>COUNTIFS(名单表!B6:B656,"五一路一小",名单表!R6:R656,"经济困难单亲家庭学生")</f>
        <v>0</v>
      </c>
      <c r="P7" s="8">
        <f>COUNTIFS(名单表!B6:B656,"五一路一小",名单表!R6:R656,"其他家庭经济困难")</f>
        <v>0</v>
      </c>
    </row>
    <row r="8" spans="1:16" ht="18" customHeight="1" x14ac:dyDescent="0.15">
      <c r="A8" s="6" t="s">
        <v>67</v>
      </c>
      <c r="B8" s="7">
        <f t="shared" si="0"/>
        <v>7</v>
      </c>
      <c r="C8" s="7">
        <f>COUNTIFS(名单表!B6:B656,"禹王台小学",名单表!R6:R656,"脱贫家庭学生")</f>
        <v>7</v>
      </c>
      <c r="D8" s="7">
        <f>COUNTIFS(名单表!B6:B656,"禹王台小学",名单表!R6:R656,"脱贫不稳定家庭学生")</f>
        <v>0</v>
      </c>
      <c r="E8" s="7">
        <f>COUNTIFS(名单表!B6:B656,"禹王台小学",名单表!R6:R656,"风险未消除家庭学生")</f>
        <v>0</v>
      </c>
      <c r="F8" s="7">
        <f>COUNTIFS(名单表!B6:B656,"禹王台小学",名单表!R6:R656,"边缘易致贫家庭学生")</f>
        <v>0</v>
      </c>
      <c r="G8" s="7">
        <f>COUNTIFS(名单表!B6:B656,"禹王台小学",名单表!R6:R656,"突发严重困难家庭学生")</f>
        <v>0</v>
      </c>
      <c r="H8" s="7">
        <f>COUNTIFS(名单表!B6:B656,"禹王台小学",名单表!R6:R656,"城乡低保学生")</f>
        <v>0</v>
      </c>
      <c r="I8" s="7">
        <f>COUNTIFS(名单表!B6:B656,"禹王台小学",名单表!R6:R656,"城乡低保家庭学生")</f>
        <v>0</v>
      </c>
      <c r="J8" s="7">
        <f>COUNTIFS(名单表!B6:B656,"禹王台小学",名单表!R6:R656,"特困救助学生")</f>
        <v>0</v>
      </c>
      <c r="K8" s="7">
        <f>COUNTIFS(名单表!B6:B656,"禹王台小学",名单表!R6:R656,"孤儿学生")</f>
        <v>0</v>
      </c>
      <c r="L8" s="7">
        <f>COUNTIFS(名单表!B6:B656,"禹王台小学",名单表!R6:R656,"残疾学生")</f>
        <v>0</v>
      </c>
      <c r="M8" s="7">
        <f>COUNTIFS(名单表!B6:B656,"禹王台小学",名单表!R6:R656,"残疾人子女学生")</f>
        <v>0</v>
      </c>
      <c r="N8" s="7">
        <f>COUNTIFS(名单表!B6:B656,"禹王台小学",名单表!R6:R656,"事实无人抚养学生")</f>
        <v>0</v>
      </c>
      <c r="O8" s="7">
        <f>COUNTIFS(名单表!B6:B656,"禹王台小学",名单表!R6:R656,"经济困难单亲家庭学生")</f>
        <v>0</v>
      </c>
      <c r="P8" s="7">
        <f>COUNTIFS(名单表!B6:B656,"禹王台小学",名单表!R6:R656,"其他家庭经济困难")</f>
        <v>0</v>
      </c>
    </row>
    <row r="9" spans="1:16" ht="18" customHeight="1" x14ac:dyDescent="0.15">
      <c r="A9" s="6" t="s">
        <v>40</v>
      </c>
      <c r="B9" s="8">
        <f t="shared" si="0"/>
        <v>5</v>
      </c>
      <c r="C9" s="8">
        <f>COUNTIFS(名单表!B6:B656,"扶轮小学",名单表!R6:R656,"脱贫家庭学生")</f>
        <v>5</v>
      </c>
      <c r="D9" s="8">
        <f>COUNTIFS(名单表!B6:B656,"扶轮小学",名单表!R6:R656,"脱贫不稳定家庭学生")</f>
        <v>0</v>
      </c>
      <c r="E9" s="8">
        <f>COUNTIFS(名单表!B6:B656,"扶轮小学",名单表!R6:R656,"风险未消除家庭学生")</f>
        <v>0</v>
      </c>
      <c r="F9" s="8">
        <f>COUNTIFS(名单表!B6:B656,"扶轮小学",名单表!R6:R656,"边缘易致贫家庭学生")</f>
        <v>0</v>
      </c>
      <c r="G9" s="8">
        <f>COUNTIFS(名单表!B6:B656,"扶轮小学",名单表!R6:R656,"突发严重困难家庭学生")</f>
        <v>0</v>
      </c>
      <c r="H9" s="8">
        <f>COUNTIFS(名单表!B6:B656,"扶轮小学",名单表!R6:R656,"城乡低保学生")</f>
        <v>0</v>
      </c>
      <c r="I9" s="8">
        <f>COUNTIFS(名单表!B6:B656,"扶轮小学",名单表!R6:R656,"城乡低保家庭学生")</f>
        <v>0</v>
      </c>
      <c r="J9" s="8">
        <f>COUNTIFS(名单表!B6:B656,"扶轮小学",名单表!R6:R656,"特困救助学生")</f>
        <v>0</v>
      </c>
      <c r="K9" s="8">
        <f>COUNTIFS(名单表!B6:B656,"扶轮小学",名单表!R6:R656,"孤儿学生")</f>
        <v>0</v>
      </c>
      <c r="L9" s="8">
        <f>COUNTIFS(名单表!B6:B656,"扶轮小学",名单表!R6:R656,"残疾学生")</f>
        <v>0</v>
      </c>
      <c r="M9" s="8">
        <f>COUNTIFS(名单表!B6:B656,"扶轮小学",名单表!R6:R656,"残疾人子女学生")</f>
        <v>0</v>
      </c>
      <c r="N9" s="8">
        <f>COUNTIFS(名单表!B6:B656,"扶轮小学",名单表!R6:R656,"事实无人抚养学生")</f>
        <v>0</v>
      </c>
      <c r="O9" s="8">
        <f>COUNTIFS(名单表!B6:B656,"扶轮小学",名单表!R6:R656,"经济困难单亲家庭学生")</f>
        <v>0</v>
      </c>
      <c r="P9" s="8">
        <f>COUNTIFS(名单表!B6:B656,"扶轮小学",名单表!R6:R656,"其他家庭经济困难")</f>
        <v>0</v>
      </c>
    </row>
    <row r="10" spans="1:16" ht="18" customHeight="1" x14ac:dyDescent="0.15">
      <c r="A10" s="6" t="s">
        <v>68</v>
      </c>
      <c r="B10" s="7">
        <f t="shared" si="0"/>
        <v>4</v>
      </c>
      <c r="C10" s="7">
        <f>COUNTIFS(名单表!B6:B656,"伞塔小学",名单表!R6:R656,"脱贫家庭学生")</f>
        <v>4</v>
      </c>
      <c r="D10" s="7">
        <f>COUNTIFS(名单表!B6:B656,"伞塔小学",名单表!R6:R656,"脱贫不稳定家庭学生")</f>
        <v>0</v>
      </c>
      <c r="E10" s="7">
        <f>COUNTIFS(名单表!B6:B656,"伞塔小学",名单表!R6:R656,"风险未消除家庭学生")</f>
        <v>0</v>
      </c>
      <c r="F10" s="7">
        <f>COUNTIFS(名单表!B6:B656,"伞塔小学",名单表!R6:R656,"边缘易致贫家庭学生")</f>
        <v>0</v>
      </c>
      <c r="G10" s="7">
        <f>COUNTIFS(名单表!B6:B656,"伞塔小学",名单表!R6:R656,"突发严重困难家庭学生")</f>
        <v>0</v>
      </c>
      <c r="H10" s="7">
        <f>COUNTIFS(名单表!B6:B656,"伞塔小学",名单表!R6:R656,"城乡低保学生")</f>
        <v>0</v>
      </c>
      <c r="I10" s="7">
        <f>COUNTIFS(名单表!B6:B656,"伞塔小学",名单表!R6:R656,"城乡低保家庭学生")</f>
        <v>0</v>
      </c>
      <c r="J10" s="7">
        <f>COUNTIFS(名单表!B6:B656,"伞塔小学",名单表!R6:R656,"特困救助学生")</f>
        <v>0</v>
      </c>
      <c r="K10" s="7">
        <f>COUNTIFS(名单表!B6:B656,"伞塔小学",名单表!R6:R656,"孤儿学生")</f>
        <v>0</v>
      </c>
      <c r="L10" s="7">
        <f>COUNTIFS(名单表!B6:B656,"伞塔小学",名单表!R6:R656,"残疾学生")</f>
        <v>0</v>
      </c>
      <c r="M10" s="7">
        <f>COUNTIFS(名单表!B6:B656,"伞塔小学",名单表!R6:R656,"残疾人子女学生")</f>
        <v>0</v>
      </c>
      <c r="N10" s="7">
        <f>COUNTIFS(名单表!B6:B656,"伞塔小学",名单表!R6:R656,"事实无人抚养学生")</f>
        <v>0</v>
      </c>
      <c r="O10" s="7">
        <f>COUNTIFS(名单表!B6:B656,"伞塔小学",名单表!R6:R656,"经济困难单亲家庭学生")</f>
        <v>0</v>
      </c>
      <c r="P10" s="7">
        <f>COUNTIFS(名单表!B6:B656,"伞塔小学",名单表!R6:R656,"其他家庭经济困难")</f>
        <v>0</v>
      </c>
    </row>
    <row r="11" spans="1:16" ht="18" customHeight="1" x14ac:dyDescent="0.15">
      <c r="A11" s="6" t="s">
        <v>69</v>
      </c>
      <c r="B11" s="8">
        <f t="shared" si="0"/>
        <v>1</v>
      </c>
      <c r="C11" s="8">
        <f>COUNTIFS(名单表!B6:B656,"华夏小学",名单表!R6:R656,"脱贫家庭学生")</f>
        <v>1</v>
      </c>
      <c r="D11" s="8">
        <f>COUNTIFS(名单表!B6:B656,"华夏小学",名单表!R6:R656,"脱贫不稳定家庭学生")</f>
        <v>0</v>
      </c>
      <c r="E11" s="8">
        <f>COUNTIFS(名单表!B6:B656,"华夏小学",名单表!R6:R656,"风险未消除家庭学生")</f>
        <v>0</v>
      </c>
      <c r="F11" s="8">
        <f>COUNTIFS(名单表!B6:B656,"华夏小学",名单表!R6:R656,"边缘易致贫家庭学生")</f>
        <v>0</v>
      </c>
      <c r="G11" s="8">
        <f>COUNTIFS(名单表!B6:B656,"华夏小学",名单表!R6:R656,"突发严重困难家庭学生")</f>
        <v>0</v>
      </c>
      <c r="H11" s="8">
        <f>COUNTIFS(名单表!B6:B656,"华夏小学",名单表!R6:R656,"城乡低保学生")</f>
        <v>0</v>
      </c>
      <c r="I11" s="8">
        <f>COUNTIFS(名单表!B6:B656,"华夏小学",名单表!R6:R656,"城乡低保家庭学生")</f>
        <v>0</v>
      </c>
      <c r="J11" s="8">
        <f>COUNTIFS(名单表!B6:B656,"华夏小学",名单表!R6:R656,"特困救助学生")</f>
        <v>0</v>
      </c>
      <c r="K11" s="8">
        <f>COUNTIFS(名单表!B6:B656,"华夏小学",名单表!R6:R656,"孤儿学生")</f>
        <v>0</v>
      </c>
      <c r="L11" s="8">
        <f>COUNTIFS(名单表!B6:B656,"华夏小学",名单表!R6:R656,"残疾学生")</f>
        <v>0</v>
      </c>
      <c r="M11" s="8">
        <f>COUNTIFS(名单表!B6:B656,"华夏小学",名单表!R6:R656,"残疾人子女学生")</f>
        <v>0</v>
      </c>
      <c r="N11" s="8">
        <f>COUNTIFS(名单表!B6:B656,"华夏小学",名单表!R6:R656,"事实无人抚养学生")</f>
        <v>0</v>
      </c>
      <c r="O11" s="8">
        <f>COUNTIFS(名单表!B6:B656,"华夏小学",名单表!R6:R656,"经济困难单亲家庭学生")</f>
        <v>0</v>
      </c>
      <c r="P11" s="8">
        <f>COUNTIFS(名单表!B6:B656,"华夏小学",名单表!R6:R656,"其他家庭经济困难")</f>
        <v>0</v>
      </c>
    </row>
    <row r="12" spans="1:16" ht="18" customHeight="1" x14ac:dyDescent="0.15">
      <c r="A12" s="6" t="s">
        <v>70</v>
      </c>
      <c r="B12" s="7">
        <f t="shared" si="0"/>
        <v>0</v>
      </c>
      <c r="C12" s="7">
        <f>COUNTIFS(名单表!B6:B656,"杨庄小学",名单表!R6:R656,"脱贫家庭学生")</f>
        <v>0</v>
      </c>
      <c r="D12" s="7">
        <f>COUNTIFS(名单表!B6:B656,"杨庄小学",名单表!R6:R656,"脱贫不稳定家庭学生")</f>
        <v>0</v>
      </c>
      <c r="E12" s="7">
        <f>COUNTIFS(名单表!B6:B656,"杨庄小学",名单表!R6:R656,"风险未消除家庭学生")</f>
        <v>0</v>
      </c>
      <c r="F12" s="7">
        <f>COUNTIFS(名单表!B6:B656,"杨庄小学",名单表!R6:R656,"边缘易致贫家庭学生")</f>
        <v>0</v>
      </c>
      <c r="G12" s="7">
        <f>COUNTIFS(名单表!B6:B656,"杨庄小学",名单表!R6:R656,"突发严重困难家庭学生")</f>
        <v>0</v>
      </c>
      <c r="H12" s="7">
        <f>COUNTIFS(名单表!B6:B656,"杨庄小学",名单表!R6:R656,"城乡低保学生")</f>
        <v>0</v>
      </c>
      <c r="I12" s="7">
        <f>COUNTIFS(名单表!B6:B656,"杨庄小学",名单表!R6:R656,"城乡低保家庭学生")</f>
        <v>0</v>
      </c>
      <c r="J12" s="7">
        <f>COUNTIFS(名单表!B6:B656,"杨庄小学",名单表!R6:R656,"特困救助学生")</f>
        <v>0</v>
      </c>
      <c r="K12" s="7">
        <f>COUNTIFS(名单表!B6:B656,"杨庄小学",名单表!R6:R656,"孤儿学生")</f>
        <v>0</v>
      </c>
      <c r="L12" s="7">
        <f>COUNTIFS(名单表!B6:B656,"杨庄小学",名单表!R6:R656,"残疾学生")</f>
        <v>0</v>
      </c>
      <c r="M12" s="7">
        <f>COUNTIFS(名单表!B6:B656,"杨庄小学",名单表!R6:R656,"残疾人子女学生")</f>
        <v>0</v>
      </c>
      <c r="N12" s="7">
        <f>COUNTIFS(名单表!B6:B656,"杨庄小学",名单表!R6:R656,"事实无人抚养学生")</f>
        <v>0</v>
      </c>
      <c r="O12" s="7">
        <f>COUNTIFS(名单表!B6:B656,"杨庄小学",名单表!R6:R656,"经济困难单亲家庭学生")</f>
        <v>0</v>
      </c>
      <c r="P12" s="7">
        <f>COUNTIFS(名单表!B6:B656,"杨庄小学",名单表!R6:R656,"其他家庭经济困难")</f>
        <v>0</v>
      </c>
    </row>
    <row r="13" spans="1:16" ht="18" customHeight="1" x14ac:dyDescent="0.15">
      <c r="A13" s="6" t="s">
        <v>71</v>
      </c>
      <c r="B13" s="8">
        <f t="shared" si="0"/>
        <v>0</v>
      </c>
      <c r="C13" s="8">
        <f>COUNTIFS(名单表!B6:B656,"西柳林小学",名单表!R6:R656,"脱贫家庭学生")</f>
        <v>0</v>
      </c>
      <c r="D13" s="8">
        <f>COUNTIFS(名单表!B6:B656,"西柳林小学",名单表!R6:R656,"脱贫不稳定家庭学生")</f>
        <v>0</v>
      </c>
      <c r="E13" s="8">
        <f>COUNTIFS(名单表!B6:B656,"西柳林小学",名单表!R6:R656,"风险未消除家庭学生")</f>
        <v>0</v>
      </c>
      <c r="F13" s="8">
        <f>COUNTIFS(名单表!B6:B656,"西柳林小学",名单表!R6:R656,"边缘易致贫家庭学生")</f>
        <v>0</v>
      </c>
      <c r="G13" s="8">
        <f>COUNTIFS(名单表!B6:B656,"西柳林小学",名单表!R6:R656,"突发严重困难家庭学生")</f>
        <v>0</v>
      </c>
      <c r="H13" s="8">
        <f>COUNTIFS(名单表!B6:B656,"西柳林小学",名单表!R6:R656,"城乡低保学生")</f>
        <v>0</v>
      </c>
      <c r="I13" s="8">
        <f>COUNTIFS(名单表!B6:B656,"西柳林小学",名单表!R6:R656,"城乡低保家庭学生")</f>
        <v>0</v>
      </c>
      <c r="J13" s="8">
        <f>COUNTIFS(名单表!B6:B656,"西柳林小学",名单表!R6:R656,"特困救助学生")</f>
        <v>0</v>
      </c>
      <c r="K13" s="8">
        <f>COUNTIFS(名单表!B6:B656,"西柳林小学",名单表!R6:R656,"孤儿学生")</f>
        <v>0</v>
      </c>
      <c r="L13" s="8">
        <f>COUNTIFS(名单表!B6:B656,"西柳林小学",名单表!R6:R656,"残疾学生")</f>
        <v>0</v>
      </c>
      <c r="M13" s="8">
        <f>COUNTIFS(名单表!B6:B656,"西柳林小学",名单表!R6:R656,"残疾人子女学生")</f>
        <v>0</v>
      </c>
      <c r="N13" s="8">
        <f>COUNTIFS(名单表!B6:B656,"西柳林小学",名单表!R6:R656,"事实无人抚养学生")</f>
        <v>0</v>
      </c>
      <c r="O13" s="8">
        <f>COUNTIFS(名单表!B6:B656,"西柳林小学",名单表!R6:R656,"经济困难单亲家庭学生")</f>
        <v>0</v>
      </c>
      <c r="P13" s="8">
        <f>COUNTIFS(名单表!B6:B656,"西柳林小学",名单表!R6:R656,"其他家庭经济困难")</f>
        <v>0</v>
      </c>
    </row>
    <row r="14" spans="1:16" ht="18" customHeight="1" x14ac:dyDescent="0.15">
      <c r="A14" s="6" t="s">
        <v>72</v>
      </c>
      <c r="B14" s="7">
        <f t="shared" si="0"/>
        <v>1</v>
      </c>
      <c r="C14" s="7">
        <f>COUNTIFS(名单表!B6:B656,"松楼小学",名单表!R6:R656,"脱贫家庭学生")</f>
        <v>1</v>
      </c>
      <c r="D14" s="7">
        <f>COUNTIFS(名单表!B6:B656,"松楼小学",名单表!R6:R656,"脱贫不稳定家庭学生")</f>
        <v>0</v>
      </c>
      <c r="E14" s="7">
        <f>COUNTIFS(名单表!B6:B656,"松楼小学",名单表!R6:R656,"风险未消除家庭学生")</f>
        <v>0</v>
      </c>
      <c r="F14" s="7">
        <f>COUNTIFS(名单表!B6:B656,"松楼小学",名单表!R6:R656,"边缘易致贫家庭学生")</f>
        <v>0</v>
      </c>
      <c r="G14" s="7">
        <f>COUNTIFS(名单表!B6:B656,"松楼小学",名单表!R6:R656,"突发严重困难家庭学生")</f>
        <v>0</v>
      </c>
      <c r="H14" s="7">
        <f>COUNTIFS(名单表!B6:B656,"松楼小学",名单表!R6:R656,"城乡低保学生")</f>
        <v>0</v>
      </c>
      <c r="I14" s="7">
        <f>COUNTIFS(名单表!B6:B656,"松楼小学",名单表!R6:R656,"城乡低保家庭学生")</f>
        <v>0</v>
      </c>
      <c r="J14" s="7">
        <f>COUNTIFS(名单表!B6:B656,"松楼小学",名单表!R6:R656,"特困救助学生")</f>
        <v>0</v>
      </c>
      <c r="K14" s="7">
        <f>COUNTIFS(名单表!B6:B656,"松楼小学",名单表!R6:R656,"孤儿学生")</f>
        <v>0</v>
      </c>
      <c r="L14" s="7">
        <f>COUNTIFS(名单表!B6:B656,"松楼小学",名单表!R6:R656,"残疾学生")</f>
        <v>0</v>
      </c>
      <c r="M14" s="7">
        <f>COUNTIFS(名单表!B6:B656,"松楼小学",名单表!R6:R656,"残疾人子女学生")</f>
        <v>0</v>
      </c>
      <c r="N14" s="7">
        <f>COUNTIFS(名单表!B6:B656,"松楼小学",名单表!R6:R656,"事实无人抚养学生")</f>
        <v>0</v>
      </c>
      <c r="O14" s="7">
        <f>COUNTIFS(名单表!B6:B656,"松楼小学",名单表!R6:R656,"经济困难单亲家庭学生")</f>
        <v>0</v>
      </c>
      <c r="P14" s="7">
        <f>COUNTIFS(名单表!B6:B656,"松楼小学",名单表!R6:R656,"其他家庭经济困难")</f>
        <v>0</v>
      </c>
    </row>
    <row r="15" spans="1:16" ht="18" customHeight="1" x14ac:dyDescent="0.15">
      <c r="A15" s="6" t="s">
        <v>73</v>
      </c>
      <c r="B15" s="8">
        <f t="shared" si="0"/>
        <v>0</v>
      </c>
      <c r="C15" s="8">
        <f>COUNTIFS(名单表!B6:B656,"群力小学",名单表!R6:R656,"脱贫家庭学生")</f>
        <v>0</v>
      </c>
      <c r="D15" s="8">
        <f>COUNTIFS(名单表!B6:B656,"群力小学",名单表!R6:R656,"脱贫不稳定家庭学生")</f>
        <v>0</v>
      </c>
      <c r="E15" s="8">
        <f>COUNTIFS(名单表!B6:B656,"群力小学",名单表!R6:R656,"风险未消除家庭学生")</f>
        <v>0</v>
      </c>
      <c r="F15" s="8">
        <f>COUNTIFS(名单表!B6:B656,"群力小学",名单表!R6:R656,"边缘易致贫家庭学生")</f>
        <v>0</v>
      </c>
      <c r="G15" s="8">
        <f>COUNTIFS(名单表!B6:B656,"群力小学",名单表!R6:R656,"突发严重困难家庭学生")</f>
        <v>0</v>
      </c>
      <c r="H15" s="8">
        <f>COUNTIFS(名单表!B6:B656,"群力小学",名单表!R6:R656,"城乡低保学生")</f>
        <v>0</v>
      </c>
      <c r="I15" s="8">
        <f>COUNTIFS(名单表!B6:B656,"群力小学",名单表!R6:R656,"城乡低保家庭学生")</f>
        <v>0</v>
      </c>
      <c r="J15" s="8">
        <f>COUNTIFS(名单表!B6:B656,"群力小学",名单表!R6:R656,"特困救助学生")</f>
        <v>0</v>
      </c>
      <c r="K15" s="8">
        <f>COUNTIFS(名单表!B6:B656,"群力小学",名单表!R6:R656,"孤儿学生")</f>
        <v>0</v>
      </c>
      <c r="L15" s="8">
        <f>COUNTIFS(名单表!B6:B656,"群力小学",名单表!R6:R656,"残疾学生")</f>
        <v>0</v>
      </c>
      <c r="M15" s="8">
        <f>COUNTIFS(名单表!B6:B656,"群力小学",名单表!R6:R656,"残疾人子女学生")</f>
        <v>0</v>
      </c>
      <c r="N15" s="8">
        <f>COUNTIFS(名单表!B6:B656,"群力小学",名单表!R6:R656,"事实无人抚养学生")</f>
        <v>0</v>
      </c>
      <c r="O15" s="8">
        <f>COUNTIFS(名单表!B6:B656,"群力小学",名单表!R6:R656,"经济困难单亲家庭学生")</f>
        <v>0</v>
      </c>
      <c r="P15" s="8">
        <f>COUNTIFS(名单表!B6:B656,"群力小学",名单表!R6:R656,"其他家庭经济困难")</f>
        <v>0</v>
      </c>
    </row>
    <row r="16" spans="1:16" ht="18" customHeight="1" x14ac:dyDescent="0.15">
      <c r="A16" s="6" t="s">
        <v>74</v>
      </c>
      <c r="B16" s="7">
        <f t="shared" si="0"/>
        <v>1</v>
      </c>
      <c r="C16" s="7">
        <f>COUNTIFS(名单表!B6:B656,"高楼小学",名单表!R6:R656,"脱贫家庭学生")</f>
        <v>1</v>
      </c>
      <c r="D16" s="7">
        <f>COUNTIFS(名单表!B6:B656,"高楼小学",名单表!R6:R656,"脱贫不稳定家庭学生")</f>
        <v>0</v>
      </c>
      <c r="E16" s="7">
        <f>COUNTIFS(名单表!B6:B656,"高楼小学",名单表!R6:R656,"风险未消除家庭学生")</f>
        <v>0</v>
      </c>
      <c r="F16" s="7">
        <f>COUNTIFS(名单表!B6:B656,"高楼小学",名单表!R6:R656,"边缘易致贫家庭学生")</f>
        <v>0</v>
      </c>
      <c r="G16" s="7">
        <f>COUNTIFS(名单表!B6:B656,"高楼小学",名单表!R6:R656,"突发严重困难家庭学生")</f>
        <v>0</v>
      </c>
      <c r="H16" s="7">
        <f>COUNTIFS(名单表!B6:B656,"高楼小学",名单表!R6:R656,"城乡低保学生")</f>
        <v>0</v>
      </c>
      <c r="I16" s="7">
        <f>COUNTIFS(名单表!B6:B656,"高楼小学",名单表!R6:R656,"城乡低保家庭学生")</f>
        <v>0</v>
      </c>
      <c r="J16" s="7">
        <f>COUNTIFS(名单表!B6:B656,"高楼小学",名单表!R6:R656,"特困救助学生")</f>
        <v>0</v>
      </c>
      <c r="K16" s="7">
        <f>COUNTIFS(名单表!B6:B656,"高楼小学",名单表!R6:R656,"孤儿学生")</f>
        <v>0</v>
      </c>
      <c r="L16" s="7">
        <f>COUNTIFS(名单表!B6:B656,"高楼小学",名单表!R6:R656,"残疾学生")</f>
        <v>0</v>
      </c>
      <c r="M16" s="7">
        <f>COUNTIFS(名单表!B6:B656,"高楼小学",名单表!R6:R656,"残疾人子女学生")</f>
        <v>0</v>
      </c>
      <c r="N16" s="7">
        <f>COUNTIFS(名单表!B6:B656,"高楼小学",名单表!R6:R656,"事实无人抚养学生")</f>
        <v>0</v>
      </c>
      <c r="O16" s="7">
        <f>COUNTIFS(名单表!B6:B656,"高楼小学",名单表!R6:R656,"经济困难单亲家庭学生")</f>
        <v>0</v>
      </c>
      <c r="P16" s="7">
        <f>COUNTIFS(名单表!B6:B656,"高楼小学",名单表!R6:R656,"其他家庭经济困难")</f>
        <v>0</v>
      </c>
    </row>
    <row r="17" spans="1:16" ht="18" customHeight="1" x14ac:dyDescent="0.15">
      <c r="A17" s="6" t="s">
        <v>75</v>
      </c>
      <c r="B17" s="8">
        <f t="shared" si="0"/>
        <v>0</v>
      </c>
      <c r="C17" s="8">
        <f>COUNTIFS(名单表!B6:B656,"汪屯小学",名单表!R6:R656,"脱贫家庭学生")</f>
        <v>0</v>
      </c>
      <c r="D17" s="8">
        <f>COUNTIFS(名单表!B6:B656,"汪屯小学",名单表!R6:R656,"脱贫不稳定家庭学生")</f>
        <v>0</v>
      </c>
      <c r="E17" s="8">
        <f>COUNTIFS(名单表!B6:B656,"汪屯小学",名单表!R6:R656,"风险未消除家庭学生")</f>
        <v>0</v>
      </c>
      <c r="F17" s="8">
        <f>COUNTIFS(名单表!B6:B656,"汪屯小学",名单表!R6:R656,"边缘易致贫家庭学生")</f>
        <v>0</v>
      </c>
      <c r="G17" s="8">
        <f>COUNTIFS(名单表!B6:B656,"汪屯小学",名单表!R6:R656,"突发严重困难家庭学生")</f>
        <v>0</v>
      </c>
      <c r="H17" s="8">
        <f>COUNTIFS(名单表!B6:B656,"汪屯小学",名单表!R6:R656,"城乡低保学生")</f>
        <v>0</v>
      </c>
      <c r="I17" s="8">
        <f>COUNTIFS(名单表!B6:B656,"汪屯小学",名单表!R6:R656,"城乡低保家庭学生")</f>
        <v>0</v>
      </c>
      <c r="J17" s="8">
        <f>COUNTIFS(名单表!B6:B656,"汪屯小学",名单表!R6:R656,"特困救助学生")</f>
        <v>0</v>
      </c>
      <c r="K17" s="8">
        <f>COUNTIFS(名单表!B6:B656,"汪屯小学",名单表!R6:R656,"孤儿学生")</f>
        <v>0</v>
      </c>
      <c r="L17" s="8">
        <f>COUNTIFS(名单表!B6:B656,"汪屯小学",名单表!R6:R656,"残疾学生")</f>
        <v>0</v>
      </c>
      <c r="M17" s="8">
        <f>COUNTIFS(名单表!B6:B656,"汪屯小学",名单表!R6:R656,"残疾人子女学生")</f>
        <v>0</v>
      </c>
      <c r="N17" s="8">
        <f>COUNTIFS(名单表!B6:B656,"汪屯小学",名单表!R6:R656,"事实无人抚养学生")</f>
        <v>0</v>
      </c>
      <c r="O17" s="8">
        <f>COUNTIFS(名单表!B6:B656,"汪屯小学",名单表!R6:R656,"经济困难单亲家庭学生")</f>
        <v>0</v>
      </c>
      <c r="P17" s="8">
        <f>COUNTIFS(名单表!B6:B656,"汪屯小学",名单表!R6:R656,"其他家庭经济困难")</f>
        <v>0</v>
      </c>
    </row>
    <row r="18" spans="1:16" ht="18" customHeight="1" x14ac:dyDescent="0.15">
      <c r="A18" s="6" t="s">
        <v>76</v>
      </c>
      <c r="B18" s="7">
        <f t="shared" si="0"/>
        <v>3</v>
      </c>
      <c r="C18" s="7">
        <f>COUNTIFS(名单表!B6:B656,"苏村小学",名单表!R6:R656,"脱贫家庭学生")</f>
        <v>3</v>
      </c>
      <c r="D18" s="7">
        <f>COUNTIFS(名单表!B6:B656,"苏村小学",名单表!R6:R656,"脱贫不稳定家庭学生")</f>
        <v>0</v>
      </c>
      <c r="E18" s="7">
        <f>COUNTIFS(名单表!B6:B656,"苏村小学",名单表!R6:R656,"风险未消除家庭学生")</f>
        <v>0</v>
      </c>
      <c r="F18" s="7">
        <f>COUNTIFS(名单表!B6:B656,"苏村小学",名单表!R6:R656,"边缘易致贫家庭学生")</f>
        <v>0</v>
      </c>
      <c r="G18" s="7">
        <f>COUNTIFS(名单表!B6:B656,"苏村小学",名单表!R6:R656,"突发严重困难家庭学生")</f>
        <v>0</v>
      </c>
      <c r="H18" s="7">
        <f>COUNTIFS(名单表!B6:B656,"苏村小学",名单表!R6:R656,"城乡低保学生")</f>
        <v>0</v>
      </c>
      <c r="I18" s="7">
        <f>COUNTIFS(名单表!B6:B656,"苏村小学",名单表!R6:R656,"城乡低保家庭学生")</f>
        <v>0</v>
      </c>
      <c r="J18" s="7">
        <f>COUNTIFS(名单表!B6:B656,"苏村小学",名单表!R6:R656,"特困救助学生")</f>
        <v>0</v>
      </c>
      <c r="K18" s="7">
        <f>COUNTIFS(名单表!B6:B656,"苏村小学",名单表!R6:R656,"孤儿学生")</f>
        <v>0</v>
      </c>
      <c r="L18" s="7">
        <f>COUNTIFS(名单表!B6:B656,"苏村小学",名单表!R6:R656,"残疾学生")</f>
        <v>0</v>
      </c>
      <c r="M18" s="7">
        <f>COUNTIFS(名单表!B6:B656,"苏村小学",名单表!R6:R656,"残疾人子女学生")</f>
        <v>0</v>
      </c>
      <c r="N18" s="7">
        <f>COUNTIFS(名单表!B6:B656,"苏村小学",名单表!R6:R656,"事实无人抚养学生")</f>
        <v>0</v>
      </c>
      <c r="O18" s="7">
        <f>COUNTIFS(名单表!B6:B656,"苏村小学",名单表!R6:R656,"经济困难单亲家庭学生")</f>
        <v>0</v>
      </c>
      <c r="P18" s="7">
        <f>COUNTIFS(名单表!B6:B656,"苏村小学",名单表!R6:R656,"其他家庭经济困难")</f>
        <v>0</v>
      </c>
    </row>
    <row r="19" spans="1:16" ht="18" customHeight="1" x14ac:dyDescent="0.15">
      <c r="A19" s="6" t="s">
        <v>77</v>
      </c>
      <c r="B19" s="8">
        <f t="shared" si="0"/>
        <v>3</v>
      </c>
      <c r="C19" s="8">
        <f>COUNTIFS(名单表!B6:B656,"马头小学",名单表!R6:R656,"脱贫家庭学生")</f>
        <v>3</v>
      </c>
      <c r="D19" s="8">
        <f>COUNTIFS(名单表!B6:B656,"马头小学",名单表!R6:R656,"脱贫不稳定家庭学生")</f>
        <v>0</v>
      </c>
      <c r="E19" s="8">
        <f>COUNTIFS(名单表!B6:B656,"马头小学",名单表!R6:R656,"风险未消除家庭学生")</f>
        <v>0</v>
      </c>
      <c r="F19" s="8">
        <f>COUNTIFS(名单表!B6:B656,"马头小学",名单表!R6:R656,"边缘易致贫家庭学生")</f>
        <v>0</v>
      </c>
      <c r="G19" s="8">
        <f>COUNTIFS(名单表!B6:B656,"马头小学",名单表!R6:R656,"突发严重困难家庭学生")</f>
        <v>0</v>
      </c>
      <c r="H19" s="8">
        <f>COUNTIFS(名单表!B6:B656,"马头小学",名单表!R6:R656,"城乡低保学生")</f>
        <v>0</v>
      </c>
      <c r="I19" s="8">
        <f>COUNTIFS(名单表!B6:B656,"马头小学",名单表!R6:R656,"城乡低保家庭学生")</f>
        <v>0</v>
      </c>
      <c r="J19" s="8">
        <f>COUNTIFS(名单表!B6:B656,"马头小学",名单表!R6:R656,"特困救助学生")</f>
        <v>0</v>
      </c>
      <c r="K19" s="8">
        <f>COUNTIFS(名单表!B6:B656,"马头小学",名单表!R6:R656,"孤儿学生")</f>
        <v>0</v>
      </c>
      <c r="L19" s="8">
        <f>COUNTIFS(名单表!B6:B656,"马头小学",名单表!R6:R656,"残疾学生")</f>
        <v>0</v>
      </c>
      <c r="M19" s="8">
        <f>COUNTIFS(名单表!B6:B656,"马头小学",名单表!R6:R656,"残疾人子女学生")</f>
        <v>0</v>
      </c>
      <c r="N19" s="8">
        <f>COUNTIFS(名单表!B6:B656,"马头小学",名单表!R6:R656,"事实无人抚养学生")</f>
        <v>0</v>
      </c>
      <c r="O19" s="8">
        <f>COUNTIFS(名单表!B6:B656,"马头小学",名单表!R6:R656,"经济困难单亲家庭学生")</f>
        <v>0</v>
      </c>
      <c r="P19" s="8">
        <f>COUNTIFS(名单表!B6:B656,"马头小学",名单表!R6:R656,"其他家庭经济困难")</f>
        <v>0</v>
      </c>
    </row>
    <row r="20" spans="1:16" ht="18" customHeight="1" x14ac:dyDescent="0.15">
      <c r="A20" s="6" t="s">
        <v>78</v>
      </c>
      <c r="B20" s="7">
        <f t="shared" si="0"/>
        <v>1</v>
      </c>
      <c r="C20" s="7">
        <f>COUNTIFS(名单表!B6:B656,"张庄小学",名单表!R6:R656,"脱贫家庭学生")</f>
        <v>1</v>
      </c>
      <c r="D20" s="7">
        <f>COUNTIFS(名单表!B6:B656,"张庄小学",名单表!R6:R656,"脱贫不稳定家庭学生")</f>
        <v>0</v>
      </c>
      <c r="E20" s="7">
        <f>COUNTIFS(名单表!B6:B656,"张庄小学",名单表!R6:R656,"风险未消除家庭学生")</f>
        <v>0</v>
      </c>
      <c r="F20" s="7">
        <f>COUNTIFS(名单表!B6:B656,"张庄小学",名单表!R6:R656,"边缘易致贫家庭学生")</f>
        <v>0</v>
      </c>
      <c r="G20" s="7">
        <f>COUNTIFS(名单表!B6:B656,"张庄小学",名单表!R6:R656,"突发严重困难家庭学生")</f>
        <v>0</v>
      </c>
      <c r="H20" s="7">
        <f>COUNTIFS(名单表!B6:B656,"张庄小学",名单表!R6:R656,"城乡低保学生")</f>
        <v>0</v>
      </c>
      <c r="I20" s="7">
        <f>COUNTIFS(名单表!B6:B656,"张庄小学",名单表!R6:R656,"城乡低保家庭学生")</f>
        <v>0</v>
      </c>
      <c r="J20" s="7">
        <f>COUNTIFS(名单表!B6:B656,"张庄小学",名单表!R6:R656,"特困救助学生")</f>
        <v>0</v>
      </c>
      <c r="K20" s="7">
        <f>COUNTIFS(名单表!B6:B656,"张庄小学",名单表!R6:R656,"孤儿学生")</f>
        <v>0</v>
      </c>
      <c r="L20" s="7">
        <f>COUNTIFS(名单表!B6:B656,"张庄小学",名单表!R6:R656,"残疾学生")</f>
        <v>0</v>
      </c>
      <c r="M20" s="7">
        <f>COUNTIFS(名单表!B6:B656,"张庄小学",名单表!R6:R656,"残疾人子女学生")</f>
        <v>0</v>
      </c>
      <c r="N20" s="7">
        <f>COUNTIFS(名单表!B6:B656,"张庄小学",名单表!R6:R656,"事实无人抚养学生")</f>
        <v>0</v>
      </c>
      <c r="O20" s="7">
        <f>COUNTIFS(名单表!B6:B656,"张庄小学",名单表!R6:R656,"经济困难单亲家庭学生")</f>
        <v>0</v>
      </c>
      <c r="P20" s="7">
        <f>COUNTIFS(名单表!B6:B656,"张庄小学",名单表!R6:R656,"其他家庭经济困难")</f>
        <v>0</v>
      </c>
    </row>
    <row r="21" spans="1:16" ht="18" customHeight="1" x14ac:dyDescent="0.15">
      <c r="A21" s="6" t="s">
        <v>79</v>
      </c>
      <c r="B21" s="8">
        <f t="shared" si="0"/>
        <v>0</v>
      </c>
      <c r="C21" s="8">
        <f>COUNTIFS(名单表!B6:B656,"李庄小学",名单表!R6:R656,"脱贫家庭学生")</f>
        <v>0</v>
      </c>
      <c r="D21" s="8">
        <f>COUNTIFS(名单表!B6:B656,"李庄小学",名单表!R6:R656,"脱贫不稳定家庭学生")</f>
        <v>0</v>
      </c>
      <c r="E21" s="8">
        <f>COUNTIFS(名单表!B6:B656,"李庄小学",名单表!R6:R656,"风险未消除家庭学生")</f>
        <v>0</v>
      </c>
      <c r="F21" s="8">
        <f>COUNTIFS(名单表!B6:B656,"李庄小学",名单表!R6:R656,"边缘易致贫家庭学生")</f>
        <v>0</v>
      </c>
      <c r="G21" s="8">
        <f>COUNTIFS(名单表!B6:B656,"李庄小学",名单表!R6:R656,"突发严重困难家庭学生")</f>
        <v>0</v>
      </c>
      <c r="H21" s="8">
        <f>COUNTIFS(名单表!B6:B656,"李庄小学",名单表!R6:R656,"城乡低保学生")</f>
        <v>0</v>
      </c>
      <c r="I21" s="8">
        <f>COUNTIFS(名单表!B6:B656,"李庄小学",名单表!R6:R656,"城乡低保家庭学生")</f>
        <v>0</v>
      </c>
      <c r="J21" s="8">
        <f>COUNTIFS(名单表!B6:B656,"李庄小学",名单表!R6:R656,"特困救助学生")</f>
        <v>0</v>
      </c>
      <c r="K21" s="8">
        <f>COUNTIFS(名单表!B6:B656,"李庄小学",名单表!R6:R656,"孤儿学生")</f>
        <v>0</v>
      </c>
      <c r="L21" s="8">
        <f>COUNTIFS(名单表!B6:B656,"李庄小学",名单表!R6:R656,"残疾学生")</f>
        <v>0</v>
      </c>
      <c r="M21" s="8">
        <f>COUNTIFS(名单表!B6:B656,"李庄小学",名单表!R6:R656,"残疾人子女学生")</f>
        <v>0</v>
      </c>
      <c r="N21" s="8">
        <f>COUNTIFS(名单表!B6:B656,"李庄小学",名单表!R6:R656,"事实无人抚养学生")</f>
        <v>0</v>
      </c>
      <c r="O21" s="8">
        <f>COUNTIFS(名单表!B6:B656,"李庄小学",名单表!R6:R656,"经济困难单亲家庭学生")</f>
        <v>0</v>
      </c>
      <c r="P21" s="8">
        <f>COUNTIFS(名单表!B6:B656,"李庄小学",名单表!R6:R656,"其他家庭经济困难")</f>
        <v>0</v>
      </c>
    </row>
    <row r="22" spans="1:16" ht="18" customHeight="1" x14ac:dyDescent="0.15">
      <c r="A22" s="6" t="s">
        <v>80</v>
      </c>
      <c r="B22" s="7">
        <f t="shared" si="0"/>
        <v>15</v>
      </c>
      <c r="C22" s="7">
        <f>COUNTIFS(名单表!B6:B656,"实验中学",名单表!R6:R656,"脱贫家庭学生")</f>
        <v>15</v>
      </c>
      <c r="D22" s="7">
        <f>COUNTIFS(名单表!B6:B656,"实验中学",名单表!R6:R656,"脱贫不稳定家庭学生")</f>
        <v>0</v>
      </c>
      <c r="E22" s="7">
        <f>COUNTIFS(名单表!B6:B656,"实验中学",名单表!R6:R656,"风险未消除家庭学生")</f>
        <v>0</v>
      </c>
      <c r="F22" s="7">
        <f>COUNTIFS(名单表!B6:B656,"实验中学",名单表!R6:R656,"边缘易致贫家庭学生")</f>
        <v>0</v>
      </c>
      <c r="G22" s="7">
        <f>COUNTIFS(名单表!B6:B656,"实验中学",名单表!R6:R656,"突发严重困难家庭学生")</f>
        <v>0</v>
      </c>
      <c r="H22" s="7">
        <f>COUNTIFS(名单表!B6:B656,"实验中学",名单表!R6:R656,"城乡低保学生")</f>
        <v>0</v>
      </c>
      <c r="I22" s="7">
        <f>COUNTIFS(名单表!B6:B656,"实验中学",名单表!R6:R656,"城乡低保家庭学生")</f>
        <v>0</v>
      </c>
      <c r="J22" s="7">
        <f>COUNTIFS(名单表!B6:B656,"实验中学",名单表!R6:R656,"特困救助学生")</f>
        <v>0</v>
      </c>
      <c r="K22" s="7">
        <f>COUNTIFS(名单表!B6:B656,"实验中学",名单表!R6:R656,"孤儿学生")</f>
        <v>0</v>
      </c>
      <c r="L22" s="7">
        <f>COUNTIFS(名单表!B6:B656,"实验中学",名单表!R6:R656,"残疾学生")</f>
        <v>0</v>
      </c>
      <c r="M22" s="7">
        <f>COUNTIFS(名单表!B6:B656,"实验中学",名单表!R6:R656,"残疾人子女学生")</f>
        <v>0</v>
      </c>
      <c r="N22" s="7">
        <f>COUNTIFS(名单表!B6:B656,"实验中学",名单表!R6:R656,"事实无人抚养学生")</f>
        <v>0</v>
      </c>
      <c r="O22" s="7">
        <f>COUNTIFS(名单表!B6:B656,"实验中学",名单表!R6:R656,"经济困难单亲家庭学生")</f>
        <v>0</v>
      </c>
      <c r="P22" s="7">
        <f>COUNTIFS(名单表!B6:B656,"实验中学",名单表!R6:R656,"其他家庭经济困难")</f>
        <v>0</v>
      </c>
    </row>
  </sheetData>
  <mergeCells count="1">
    <mergeCell ref="A1:O1"/>
  </mergeCells>
  <phoneticPr fontId="5" type="noConversion"/>
  <pageMargins left="0.7" right="0.7" top="0.75" bottom="0.75" header="0.3" footer="0.3"/>
  <pageSetup paperSize="9" orientation="landscape" horizontalDpi="2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2:D21"/>
  <sheetViews>
    <sheetView workbookViewId="0">
      <selection activeCell="H14" sqref="H14"/>
    </sheetView>
  </sheetViews>
  <sheetFormatPr defaultColWidth="9" defaultRowHeight="13.5" x14ac:dyDescent="0.15"/>
  <cols>
    <col min="3" max="3" width="15.5" customWidth="1"/>
    <col min="4" max="4" width="22" customWidth="1"/>
  </cols>
  <sheetData>
    <row r="2" spans="3:4" x14ac:dyDescent="0.15">
      <c r="C2" s="1" t="s">
        <v>8</v>
      </c>
      <c r="D2" s="1" t="s">
        <v>81</v>
      </c>
    </row>
    <row r="3" spans="3:4" x14ac:dyDescent="0.15">
      <c r="C3" t="s">
        <v>63</v>
      </c>
      <c r="D3" t="s">
        <v>43</v>
      </c>
    </row>
    <row r="4" spans="3:4" x14ac:dyDescent="0.15">
      <c r="C4" t="s">
        <v>64</v>
      </c>
      <c r="D4" t="s">
        <v>49</v>
      </c>
    </row>
    <row r="5" spans="3:4" x14ac:dyDescent="0.15">
      <c r="C5" t="s">
        <v>65</v>
      </c>
      <c r="D5" t="s">
        <v>50</v>
      </c>
    </row>
    <row r="6" spans="3:4" x14ac:dyDescent="0.15">
      <c r="C6" t="s">
        <v>66</v>
      </c>
      <c r="D6" t="s">
        <v>51</v>
      </c>
    </row>
    <row r="7" spans="3:4" x14ac:dyDescent="0.15">
      <c r="C7" t="s">
        <v>67</v>
      </c>
      <c r="D7" t="s">
        <v>52</v>
      </c>
    </row>
    <row r="8" spans="3:4" x14ac:dyDescent="0.15">
      <c r="C8" t="s">
        <v>40</v>
      </c>
      <c r="D8" t="s">
        <v>53</v>
      </c>
    </row>
    <row r="9" spans="3:4" x14ac:dyDescent="0.15">
      <c r="C9" t="s">
        <v>68</v>
      </c>
      <c r="D9" t="s">
        <v>54</v>
      </c>
    </row>
    <row r="10" spans="3:4" x14ac:dyDescent="0.15">
      <c r="C10" t="s">
        <v>69</v>
      </c>
      <c r="D10" t="s">
        <v>55</v>
      </c>
    </row>
    <row r="11" spans="3:4" x14ac:dyDescent="0.15">
      <c r="C11" t="s">
        <v>70</v>
      </c>
      <c r="D11" t="s">
        <v>56</v>
      </c>
    </row>
    <row r="12" spans="3:4" x14ac:dyDescent="0.15">
      <c r="C12" t="s">
        <v>71</v>
      </c>
      <c r="D12" t="s">
        <v>57</v>
      </c>
    </row>
    <row r="13" spans="3:4" x14ac:dyDescent="0.15">
      <c r="C13" t="s">
        <v>72</v>
      </c>
      <c r="D13" t="s">
        <v>58</v>
      </c>
    </row>
    <row r="14" spans="3:4" x14ac:dyDescent="0.15">
      <c r="C14" t="s">
        <v>73</v>
      </c>
      <c r="D14" t="s">
        <v>59</v>
      </c>
    </row>
    <row r="15" spans="3:4" x14ac:dyDescent="0.15">
      <c r="C15" t="s">
        <v>74</v>
      </c>
      <c r="D15" t="s">
        <v>60</v>
      </c>
    </row>
    <row r="16" spans="3:4" x14ac:dyDescent="0.15">
      <c r="C16" t="s">
        <v>75</v>
      </c>
      <c r="D16" t="s">
        <v>61</v>
      </c>
    </row>
    <row r="17" spans="3:3" x14ac:dyDescent="0.15">
      <c r="C17" t="s">
        <v>76</v>
      </c>
    </row>
    <row r="18" spans="3:3" x14ac:dyDescent="0.15">
      <c r="C18" t="s">
        <v>77</v>
      </c>
    </row>
    <row r="19" spans="3:3" x14ac:dyDescent="0.15">
      <c r="C19" t="s">
        <v>78</v>
      </c>
    </row>
    <row r="20" spans="3:3" x14ac:dyDescent="0.15">
      <c r="C20" t="s">
        <v>79</v>
      </c>
    </row>
    <row r="21" spans="3:3" x14ac:dyDescent="0.15">
      <c r="C21" t="s">
        <v>80</v>
      </c>
    </row>
  </sheetData>
  <phoneticPr fontId="5" type="noConversion"/>
  <pageMargins left="0.7" right="0.7" top="0.75" bottom="0.75" header="0.3" footer="0.3"/>
  <pageSetup paperSize="9" orientation="portrait" horizontalDpi="200" verticalDpi="30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2_2_1" rangeCreator="" othersAccessPermission="edit"/>
    <arrUserId title="区域2_3_1" rangeCreator="" othersAccessPermission="edit"/>
    <arrUserId title="区域3_3" rangeCreator="" othersAccessPermission="edit"/>
    <arrUserId title="区域3_1_3" rangeCreator="" othersAccessPermission="edit"/>
    <arrUserId title="区域7_2_1" rangeCreator="" othersAccessPermission="edit"/>
    <arrUserId title="区域1_1_1_2" rangeCreator="" othersAccessPermission="edit"/>
    <arrUserId title="区域4_2" rangeCreator="" othersAccessPermission="edit"/>
    <arrUserId title="区域1_1_1_1_1" rangeCreator="" othersAccessPermission="edit"/>
    <arrUserId title="区域4_1_1" rangeCreator="" othersAccessPermission="edit"/>
    <arrUserId title="区域3_2_2" rangeCreator="" othersAccessPermission="edit"/>
    <arrUserId title="区域1_2" rangeCreator="" othersAccessPermission="edit"/>
    <arrUserId title="区域2_5_1" rangeCreator="" othersAccessPermission="edit"/>
    <arrUserId title="区域4_1_2_1" rangeCreator="" othersAccessPermission="edit"/>
    <arrUserId title="区域4_2_1_1" rangeCreator="" othersAccessPermission="edit"/>
    <arrUserId title="区域1_1_2" rangeCreator="" othersAccessPermission="edit"/>
    <arrUserId title="区域1_1_2_1" rangeCreator="" othersAccessPermission="edit"/>
    <arrUserId title="区域1_2_1" rangeCreator="" othersAccessPermission="edit"/>
    <arrUserId title="区域2_4" rangeCreator="" othersAccessPermission="edit"/>
    <arrUserId title="区域1_3" rangeCreator="" othersAccessPermission="edit"/>
    <arrUserId title="区域1_1_1_2_1" rangeCreator="" othersAccessPermission="edit"/>
    <arrUserId title="区域1_2_1_1" rangeCreator="" othersAccessPermission="edit"/>
    <arrUserId title="区域2_1_2" rangeCreator="" othersAccessPermission="edit"/>
    <arrUserId title="区域4_1_5" rangeCreator="" othersAccessPermission="edit"/>
    <arrUserId title="区域3_1" rangeCreator="" othersAccessPermission="edit"/>
    <arrUserId title="区域4_1_6" rangeCreator="" othersAccessPermission="edit"/>
    <arrUserId title="区域4_1_3" rangeCreator="" othersAccessPermission="edit"/>
    <arrUserId title="区域4_2_2" rangeCreator="" othersAccessPermission="edit"/>
    <arrUserId title="区域4_2_4" rangeCreator="" othersAccessPermission="edit"/>
    <arrUserId title="区域3_4" rangeCreator="" othersAccessPermission="edit"/>
    <arrUserId title="区域4_2_1" rangeCreator="" othersAccessPermission="edit"/>
    <arrUserId title="区域3_2" rangeCreator="" othersAccessPermission="edit"/>
    <arrUserId title="区域3_3_1" rangeCreator="" othersAccessPermission="edit"/>
    <arrUserId title="区域4_2_3" rangeCreator="" othersAccessPermission="edit"/>
    <arrUserId title="区域3_3_1_1" rangeCreator="" othersAccessPermission="edit"/>
  </rangeList>
  <rangeList sheetStid="2" master=""/>
  <rangeList sheetStid="3" master="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2</vt:i4>
      </vt:variant>
    </vt:vector>
  </HeadingPairs>
  <TitlesOfParts>
    <vt:vector size="5" baseType="lpstr">
      <vt:lpstr>名单表</vt:lpstr>
      <vt:lpstr>统计表</vt:lpstr>
      <vt:lpstr>Sheet3</vt:lpstr>
      <vt:lpstr>困难类型</vt:lpstr>
      <vt:lpstr>学校名称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2023-11-28T09:00:42Z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D83E53E3EB964877AE4D3AFAA9C4CC55_12</vt:lpwstr>
  </property>
  <property fmtid="{D5CDD505-2E9C-101B-9397-08002B2CF9AE}" pid="3" name="KSOProductBuildVer">
    <vt:lpwstr>2052-11.1.0.14036</vt:lpwstr>
  </property>
</Properties>
</file>