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Desktop\各种上报材料\政府办\2023年秋季\"/>
    </mc:Choice>
  </mc:AlternateContent>
  <xr:revisionPtr revIDLastSave="0" documentId="13_ncr:1_{C67E999D-54E2-4B81-B0DD-5311A8225CB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名单表" sheetId="1" r:id="rId1"/>
    <sheet name="统计表" sheetId="2" r:id="rId2"/>
    <sheet name="Sheet3" sheetId="3" r:id="rId3"/>
    <sheet name="Sheet1" sheetId="4" r:id="rId4"/>
  </sheets>
  <definedNames>
    <definedName name="_xlnm._FilterDatabase" localSheetId="0" hidden="1">名单表!$A$5:$T$28</definedName>
    <definedName name="困难类型">Sheet3!$D$3:$D$16</definedName>
    <definedName name="学校名称">Sheet3!$C$3:$C$20</definedName>
  </definedNames>
  <calcPr calcId="191029"/>
</workbook>
</file>

<file path=xl/calcChain.xml><?xml version="1.0" encoding="utf-8"?>
<calcChain xmlns="http://schemas.openxmlformats.org/spreadsheetml/2006/main">
  <c r="D13" i="4" l="1"/>
  <c r="E13" i="4"/>
  <c r="D7" i="2"/>
  <c r="C7" i="2"/>
  <c r="E7" i="2"/>
  <c r="F7" i="2"/>
  <c r="G7" i="2"/>
  <c r="H7" i="2"/>
  <c r="I7" i="2"/>
  <c r="J7" i="2"/>
  <c r="K7" i="2"/>
  <c r="L7" i="2"/>
  <c r="M7" i="2"/>
  <c r="N7" i="2"/>
  <c r="O7" i="2"/>
  <c r="P7" i="2"/>
  <c r="P21" i="2"/>
  <c r="O21" i="2"/>
  <c r="N21" i="2"/>
  <c r="M21" i="2"/>
  <c r="L21" i="2"/>
  <c r="K21" i="2"/>
  <c r="J21" i="2"/>
  <c r="I21" i="2"/>
  <c r="H21" i="2"/>
  <c r="G21" i="2"/>
  <c r="F21" i="2"/>
  <c r="E21" i="2"/>
  <c r="D21" i="2"/>
  <c r="C21" i="2"/>
  <c r="P20" i="2"/>
  <c r="O20" i="2"/>
  <c r="N20" i="2"/>
  <c r="M20" i="2"/>
  <c r="L20" i="2"/>
  <c r="K20" i="2"/>
  <c r="J20" i="2"/>
  <c r="I20" i="2"/>
  <c r="H20" i="2"/>
  <c r="G20" i="2"/>
  <c r="F20" i="2"/>
  <c r="E20" i="2"/>
  <c r="D20" i="2"/>
  <c r="C20" i="2"/>
  <c r="P19" i="2"/>
  <c r="O19" i="2"/>
  <c r="N19" i="2"/>
  <c r="M19" i="2"/>
  <c r="L19" i="2"/>
  <c r="K19" i="2"/>
  <c r="J19" i="2"/>
  <c r="I19" i="2"/>
  <c r="H19" i="2"/>
  <c r="G19" i="2"/>
  <c r="F19" i="2"/>
  <c r="E19" i="2"/>
  <c r="D19" i="2"/>
  <c r="C19" i="2"/>
  <c r="P18" i="2"/>
  <c r="O18" i="2"/>
  <c r="N18" i="2"/>
  <c r="M18" i="2"/>
  <c r="L18" i="2"/>
  <c r="K18" i="2"/>
  <c r="J18" i="2"/>
  <c r="I18" i="2"/>
  <c r="H18" i="2"/>
  <c r="G18" i="2"/>
  <c r="F18" i="2"/>
  <c r="E18" i="2"/>
  <c r="D18" i="2"/>
  <c r="C18" i="2"/>
  <c r="P17" i="2"/>
  <c r="O17" i="2"/>
  <c r="N17" i="2"/>
  <c r="M17" i="2"/>
  <c r="L17" i="2"/>
  <c r="K17" i="2"/>
  <c r="J17" i="2"/>
  <c r="I17" i="2"/>
  <c r="H17" i="2"/>
  <c r="G17" i="2"/>
  <c r="F17" i="2"/>
  <c r="E17" i="2"/>
  <c r="D17" i="2"/>
  <c r="C17" i="2"/>
  <c r="P16" i="2"/>
  <c r="O16" i="2"/>
  <c r="N16" i="2"/>
  <c r="M16" i="2"/>
  <c r="L16" i="2"/>
  <c r="K16" i="2"/>
  <c r="J16" i="2"/>
  <c r="I16" i="2"/>
  <c r="H16" i="2"/>
  <c r="G16" i="2"/>
  <c r="F16" i="2"/>
  <c r="E16" i="2"/>
  <c r="D16" i="2"/>
  <c r="C16" i="2"/>
  <c r="P15" i="2"/>
  <c r="O15" i="2"/>
  <c r="N15" i="2"/>
  <c r="M15" i="2"/>
  <c r="L15" i="2"/>
  <c r="K15" i="2"/>
  <c r="J15" i="2"/>
  <c r="I15" i="2"/>
  <c r="H15" i="2"/>
  <c r="G15" i="2"/>
  <c r="F15" i="2"/>
  <c r="E15" i="2"/>
  <c r="D15" i="2"/>
  <c r="C15" i="2"/>
  <c r="P14" i="2"/>
  <c r="O14" i="2"/>
  <c r="N14" i="2"/>
  <c r="M14" i="2"/>
  <c r="L14" i="2"/>
  <c r="K14" i="2"/>
  <c r="J14" i="2"/>
  <c r="I14" i="2"/>
  <c r="H14" i="2"/>
  <c r="G14" i="2"/>
  <c r="F14" i="2"/>
  <c r="E14" i="2"/>
  <c r="D14" i="2"/>
  <c r="C14" i="2"/>
  <c r="P13" i="2"/>
  <c r="O13" i="2"/>
  <c r="N13" i="2"/>
  <c r="M13" i="2"/>
  <c r="L13" i="2"/>
  <c r="K13" i="2"/>
  <c r="J13" i="2"/>
  <c r="I13" i="2"/>
  <c r="H13" i="2"/>
  <c r="G13" i="2"/>
  <c r="F13" i="2"/>
  <c r="E13" i="2"/>
  <c r="D13" i="2"/>
  <c r="C13" i="2"/>
  <c r="P12" i="2"/>
  <c r="O12" i="2"/>
  <c r="N12" i="2"/>
  <c r="M12" i="2"/>
  <c r="L12" i="2"/>
  <c r="K12" i="2"/>
  <c r="J12" i="2"/>
  <c r="I12" i="2"/>
  <c r="H12" i="2"/>
  <c r="G12" i="2"/>
  <c r="F12" i="2"/>
  <c r="E12" i="2"/>
  <c r="D12" i="2"/>
  <c r="C12" i="2"/>
  <c r="P11" i="2"/>
  <c r="O11" i="2"/>
  <c r="N11" i="2"/>
  <c r="M11" i="2"/>
  <c r="L11" i="2"/>
  <c r="K11" i="2"/>
  <c r="J11" i="2"/>
  <c r="I11" i="2"/>
  <c r="H11" i="2"/>
  <c r="G11" i="2"/>
  <c r="F11" i="2"/>
  <c r="E11" i="2"/>
  <c r="D11" i="2"/>
  <c r="C11" i="2"/>
  <c r="P10" i="2"/>
  <c r="O10" i="2"/>
  <c r="N10" i="2"/>
  <c r="M10" i="2"/>
  <c r="L10" i="2"/>
  <c r="K10" i="2"/>
  <c r="J10" i="2"/>
  <c r="I10" i="2"/>
  <c r="H10" i="2"/>
  <c r="G10" i="2"/>
  <c r="F10" i="2"/>
  <c r="E10" i="2"/>
  <c r="D10" i="2"/>
  <c r="C10" i="2"/>
  <c r="P9" i="2"/>
  <c r="O9" i="2"/>
  <c r="N9" i="2"/>
  <c r="M9" i="2"/>
  <c r="L9" i="2"/>
  <c r="K9" i="2"/>
  <c r="J9" i="2"/>
  <c r="I9" i="2"/>
  <c r="H9" i="2"/>
  <c r="G9" i="2"/>
  <c r="F9" i="2"/>
  <c r="E9" i="2"/>
  <c r="D9" i="2"/>
  <c r="C9" i="2"/>
  <c r="P8" i="2"/>
  <c r="O8" i="2"/>
  <c r="N8" i="2"/>
  <c r="M8" i="2"/>
  <c r="L8" i="2"/>
  <c r="K8" i="2"/>
  <c r="J8" i="2"/>
  <c r="I8" i="2"/>
  <c r="H8" i="2"/>
  <c r="G8" i="2"/>
  <c r="F8" i="2"/>
  <c r="E8" i="2"/>
  <c r="D8" i="2"/>
  <c r="C8" i="2"/>
  <c r="P6" i="2"/>
  <c r="O6" i="2"/>
  <c r="N6" i="2"/>
  <c r="M6" i="2"/>
  <c r="L6" i="2"/>
  <c r="K6" i="2"/>
  <c r="J6" i="2"/>
  <c r="I6" i="2"/>
  <c r="H6" i="2"/>
  <c r="G6" i="2"/>
  <c r="F6" i="2"/>
  <c r="E6" i="2"/>
  <c r="D6" i="2"/>
  <c r="C6" i="2"/>
  <c r="P5" i="2"/>
  <c r="O5" i="2"/>
  <c r="N5" i="2"/>
  <c r="M5" i="2"/>
  <c r="L5" i="2"/>
  <c r="K5" i="2"/>
  <c r="J5" i="2"/>
  <c r="I5" i="2"/>
  <c r="H5" i="2"/>
  <c r="G5" i="2"/>
  <c r="F5" i="2"/>
  <c r="E5" i="2"/>
  <c r="D5" i="2"/>
  <c r="C5" i="2"/>
  <c r="P4" i="2"/>
  <c r="O4" i="2"/>
  <c r="N4" i="2"/>
  <c r="M4" i="2"/>
  <c r="L4" i="2"/>
  <c r="K4" i="2"/>
  <c r="J4" i="2"/>
  <c r="I4" i="2"/>
  <c r="H4" i="2"/>
  <c r="G4" i="2"/>
  <c r="F4" i="2"/>
  <c r="E4" i="2"/>
  <c r="D4" i="2"/>
  <c r="C4" i="2"/>
  <c r="O3" i="2" l="1"/>
  <c r="B11" i="2"/>
  <c r="B14" i="2"/>
  <c r="B17" i="2"/>
  <c r="B20" i="2"/>
  <c r="B5" i="2"/>
  <c r="K3" i="2"/>
  <c r="E3" i="2"/>
  <c r="I3" i="2"/>
  <c r="M3" i="2"/>
  <c r="B6" i="2"/>
  <c r="B9" i="2"/>
  <c r="B15" i="2"/>
  <c r="B18" i="2"/>
  <c r="B21" i="2"/>
  <c r="B8" i="2"/>
  <c r="C3" i="2"/>
  <c r="B12" i="2"/>
  <c r="G3" i="2"/>
  <c r="B4" i="2"/>
  <c r="B10" i="2"/>
  <c r="B13" i="2"/>
  <c r="B16" i="2"/>
  <c r="B19" i="2"/>
  <c r="D3" i="2"/>
  <c r="P3" i="2"/>
  <c r="N3" i="2"/>
  <c r="H3" i="2"/>
  <c r="L3" i="2"/>
  <c r="F3" i="2"/>
  <c r="B7" i="2"/>
  <c r="J3" i="2"/>
  <c r="B3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作者</author>
  </authors>
  <commentList>
    <comment ref="D4" authorId="0" shapeId="0" xr:uid="{00000000-0006-0000-0000-000001000000}">
      <text>
        <r>
          <rPr>
            <b/>
            <sz val="9"/>
            <rFont val="宋体"/>
            <family val="3"/>
            <charset val="134"/>
          </rPr>
          <t>填写学生的姓名</t>
        </r>
      </text>
    </comment>
    <comment ref="G4" authorId="0" shapeId="0" xr:uid="{00000000-0006-0000-0000-000002000000}">
      <text>
        <r>
          <rPr>
            <b/>
            <sz val="9"/>
            <rFont val="宋体"/>
            <family val="3"/>
            <charset val="134"/>
          </rPr>
          <t>学生的性别</t>
        </r>
        <r>
          <rPr>
            <b/>
            <sz val="9"/>
            <rFont val="Tahoma"/>
            <family val="2"/>
          </rPr>
          <t xml:space="preserve"> 0-</t>
        </r>
        <r>
          <rPr>
            <b/>
            <sz val="9"/>
            <rFont val="宋体"/>
            <family val="3"/>
            <charset val="134"/>
          </rPr>
          <t>女</t>
        </r>
        <r>
          <rPr>
            <b/>
            <sz val="9"/>
            <rFont val="Tahoma"/>
            <family val="2"/>
          </rPr>
          <t xml:space="preserve">  1-</t>
        </r>
        <r>
          <rPr>
            <b/>
            <sz val="9"/>
            <rFont val="宋体"/>
            <family val="3"/>
            <charset val="134"/>
          </rPr>
          <t>男</t>
        </r>
        <r>
          <rPr>
            <sz val="9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<sst xmlns="http://schemas.openxmlformats.org/spreadsheetml/2006/main" count="219" uniqueCount="112">
  <si>
    <t>禹王台区2023年秋季学期学前教育阶段家庭经济困难儿童生活补助发放名单表</t>
  </si>
  <si>
    <t>序号</t>
  </si>
  <si>
    <t>学校信息</t>
  </si>
  <si>
    <t>学生入学信息</t>
  </si>
  <si>
    <t>监护人信息</t>
  </si>
  <si>
    <t>资助金发放信息</t>
  </si>
  <si>
    <t>认定信息</t>
  </si>
  <si>
    <t>备注</t>
  </si>
  <si>
    <t>学校名称</t>
  </si>
  <si>
    <t>学校属性</t>
  </si>
  <si>
    <t>姓名</t>
  </si>
  <si>
    <t>全国系统学籍号</t>
  </si>
  <si>
    <t>身份证件号</t>
  </si>
  <si>
    <t>性别</t>
  </si>
  <si>
    <t>出生日期</t>
  </si>
  <si>
    <t>年级</t>
  </si>
  <si>
    <t>班级</t>
  </si>
  <si>
    <t>监护人姓名</t>
  </si>
  <si>
    <t>监护人身份证号</t>
  </si>
  <si>
    <t>监护人联系电话</t>
  </si>
  <si>
    <t>户籍地址</t>
  </si>
  <si>
    <t>发放一卡通户名</t>
  </si>
  <si>
    <t>持卡人身份证号</t>
  </si>
  <si>
    <t>发放一卡通卡号</t>
  </si>
  <si>
    <t>受助金额</t>
  </si>
  <si>
    <t>困难类别</t>
  </si>
  <si>
    <t>如困难类别为“其他困难类型”的注明具体原因</t>
  </si>
  <si>
    <t>标准全称，必须和全国系统一致</t>
  </si>
  <si>
    <r>
      <rPr>
        <sz val="8"/>
        <color rgb="FF000000"/>
        <rFont val="宋体"/>
        <family val="3"/>
        <charset val="134"/>
      </rPr>
      <t>公办、民办，</t>
    </r>
    <r>
      <rPr>
        <sz val="8"/>
        <color rgb="FFFF0000"/>
        <rFont val="宋体"/>
        <family val="3"/>
        <charset val="134"/>
      </rPr>
      <t>代管</t>
    </r>
  </si>
  <si>
    <r>
      <rPr>
        <sz val="8"/>
        <color indexed="8"/>
        <rFont val="宋体"/>
        <family val="3"/>
        <charset val="134"/>
      </rPr>
      <t>必须为汉字（可以包含·），长度大于等于1，且不超过16个汉字，</t>
    </r>
    <r>
      <rPr>
        <sz val="8"/>
        <color indexed="10"/>
        <rFont val="宋体"/>
        <family val="3"/>
        <charset val="134"/>
      </rPr>
      <t>必填项</t>
    </r>
  </si>
  <si>
    <t>填写学生的学籍号，长度不超过50个字符</t>
  </si>
  <si>
    <r>
      <rPr>
        <sz val="8"/>
        <color indexed="8"/>
        <rFont val="宋体"/>
        <family val="3"/>
        <charset val="134"/>
      </rPr>
      <t>填写学生身份证件号，</t>
    </r>
    <r>
      <rPr>
        <sz val="8"/>
        <color indexed="10"/>
        <rFont val="宋体"/>
        <family val="3"/>
        <charset val="134"/>
      </rPr>
      <t>必填项</t>
    </r>
  </si>
  <si>
    <r>
      <rPr>
        <sz val="8"/>
        <color indexed="8"/>
        <rFont val="宋体"/>
        <family val="3"/>
        <charset val="134"/>
      </rPr>
      <t>只能填“男”或“女”。</t>
    </r>
    <r>
      <rPr>
        <sz val="8"/>
        <color indexed="10"/>
        <rFont val="宋体"/>
        <family val="3"/>
        <charset val="134"/>
      </rPr>
      <t>必填项</t>
    </r>
  </si>
  <si>
    <r>
      <rPr>
        <sz val="8"/>
        <color indexed="8"/>
        <rFont val="宋体"/>
        <family val="3"/>
        <charset val="134"/>
      </rPr>
      <t>填写学生的出生日期，格式如20020102。</t>
    </r>
    <r>
      <rPr>
        <sz val="8"/>
        <color indexed="10"/>
        <rFont val="宋体"/>
        <family val="3"/>
        <charset val="134"/>
      </rPr>
      <t>必填项</t>
    </r>
  </si>
  <si>
    <r>
      <rPr>
        <sz val="8"/>
        <color indexed="8"/>
        <rFont val="宋体"/>
        <family val="3"/>
        <charset val="134"/>
      </rPr>
      <t>填写学生所在年级,如:一年级,二年级，三年级等</t>
    </r>
    <r>
      <rPr>
        <sz val="8"/>
        <color indexed="10"/>
        <rFont val="宋体"/>
        <family val="3"/>
        <charset val="134"/>
      </rPr>
      <t>.必填项</t>
    </r>
  </si>
  <si>
    <r>
      <rPr>
        <sz val="8"/>
        <color indexed="8"/>
        <rFont val="宋体"/>
        <family val="3"/>
        <charset val="134"/>
      </rPr>
      <t>填写学生所在年级,如:一班 ,二班等</t>
    </r>
    <r>
      <rPr>
        <sz val="8"/>
        <color indexed="10"/>
        <rFont val="宋体"/>
        <family val="3"/>
        <charset val="134"/>
      </rPr>
      <t>.必填项</t>
    </r>
  </si>
  <si>
    <r>
      <rPr>
        <sz val="8"/>
        <color indexed="8"/>
        <rFont val="宋体"/>
        <family val="3"/>
        <charset val="134"/>
      </rPr>
      <t>必须为汉字（可以包含·），长度大于等于1，且不超过16个汉字</t>
    </r>
    <r>
      <rPr>
        <sz val="8"/>
        <color indexed="10"/>
        <rFont val="宋体"/>
        <family val="3"/>
        <charset val="134"/>
      </rPr>
      <t>，必填项</t>
    </r>
  </si>
  <si>
    <r>
      <rPr>
        <sz val="8"/>
        <color indexed="8"/>
        <rFont val="宋体"/>
        <family val="3"/>
        <charset val="134"/>
      </rPr>
      <t>填写监护人身份证件号，</t>
    </r>
    <r>
      <rPr>
        <sz val="8"/>
        <color indexed="10"/>
        <rFont val="宋体"/>
        <family val="3"/>
        <charset val="134"/>
      </rPr>
      <t>必填项</t>
    </r>
  </si>
  <si>
    <t>必填项</t>
  </si>
  <si>
    <r>
      <rPr>
        <sz val="8"/>
        <rFont val="宋体"/>
        <family val="3"/>
        <charset val="134"/>
      </rPr>
      <t>省、市、县（区）、乡（办事处）、村（社区）、街道门牌号</t>
    </r>
    <r>
      <rPr>
        <sz val="8"/>
        <color indexed="10"/>
        <rFont val="宋体"/>
        <family val="3"/>
        <charset val="134"/>
      </rPr>
      <t>必填项</t>
    </r>
  </si>
  <si>
    <t>持卡人姓名</t>
  </si>
  <si>
    <t>单位：元</t>
  </si>
  <si>
    <t>如：脱贫家庭学生等</t>
  </si>
  <si>
    <t>95129部队幼儿园</t>
  </si>
  <si>
    <t>代管</t>
  </si>
  <si>
    <t>尼思锦</t>
  </si>
  <si>
    <t>残疾人子女学生</t>
  </si>
  <si>
    <t>2023年春季禹王台区受助学生数统计</t>
  </si>
  <si>
    <t>合计</t>
  </si>
  <si>
    <t>脱贫家庭学生</t>
  </si>
  <si>
    <t>脱贫不稳定家庭学生</t>
  </si>
  <si>
    <t>风险未消除家庭学生</t>
  </si>
  <si>
    <t>边缘易致贫家庭学生</t>
  </si>
  <si>
    <t>突发严重困难家庭学生</t>
  </si>
  <si>
    <t>城乡低保学生</t>
  </si>
  <si>
    <t>城乡低保家庭学生</t>
  </si>
  <si>
    <t>特困救助学生</t>
  </si>
  <si>
    <t>孤儿学生</t>
  </si>
  <si>
    <t>残疾学生</t>
  </si>
  <si>
    <t>事实无人抚养学生</t>
  </si>
  <si>
    <t>经济困难单亲家庭学生</t>
  </si>
  <si>
    <t>其他家庭经济困难</t>
  </si>
  <si>
    <t>合  计</t>
  </si>
  <si>
    <t>医院前街幼儿园</t>
  </si>
  <si>
    <t>新征幼儿园</t>
  </si>
  <si>
    <t>民享街幼儿园</t>
  </si>
  <si>
    <t>红苹果分园</t>
  </si>
  <si>
    <t>95985部队幼儿园</t>
  </si>
  <si>
    <t>铁路幼儿园</t>
  </si>
  <si>
    <t>松楼康乐幼儿园</t>
  </si>
  <si>
    <t>童乐幼儿园</t>
  </si>
  <si>
    <t>阳光幼儿园</t>
  </si>
  <si>
    <t>华阳幼儿园</t>
  </si>
  <si>
    <t>马头春蕾幼儿园</t>
  </si>
  <si>
    <t>群英华英园</t>
  </si>
  <si>
    <t>启航幼儿园</t>
  </si>
  <si>
    <t>蓝天幼儿园</t>
  </si>
  <si>
    <t>烁果早慧幼儿园</t>
  </si>
  <si>
    <t>柯家楼五福幼儿园</t>
  </si>
  <si>
    <t>困难类型</t>
  </si>
  <si>
    <t>区实验幼儿园</t>
  </si>
  <si>
    <t>民办</t>
  </si>
  <si>
    <t>王卓</t>
  </si>
  <si>
    <t>蒿冠宇</t>
  </si>
  <si>
    <t>丁浩天</t>
  </si>
  <si>
    <t>徐唯尤</t>
  </si>
  <si>
    <t>丁怡心</t>
  </si>
  <si>
    <t>陈思衡</t>
  </si>
  <si>
    <t>王瑾豪</t>
  </si>
  <si>
    <t>汤铭洋</t>
  </si>
  <si>
    <t>刘雨欣</t>
  </si>
  <si>
    <t>张程昱</t>
  </si>
  <si>
    <t>马宇轩</t>
  </si>
  <si>
    <t>郭峻安</t>
  </si>
  <si>
    <t>吴昕桐</t>
  </si>
  <si>
    <t>张景旭</t>
  </si>
  <si>
    <t>公办</t>
  </si>
  <si>
    <t>郑昱轩</t>
  </si>
  <si>
    <t>朱梓萌</t>
  </si>
  <si>
    <t>姚籽旭</t>
  </si>
  <si>
    <t>王乐淇</t>
  </si>
  <si>
    <t>王乐瑶</t>
  </si>
  <si>
    <t>王楚煜</t>
    <phoneticPr fontId="4" type="noConversion"/>
  </si>
  <si>
    <t>区实验幼儿园</t>
    <phoneticPr fontId="4" type="noConversion"/>
  </si>
  <si>
    <t>单位名称</t>
    <phoneticPr fontId="4" type="noConversion"/>
  </si>
  <si>
    <t>受助儿童数</t>
    <phoneticPr fontId="4" type="noConversion"/>
  </si>
  <si>
    <t>其中原建档立卡数</t>
    <phoneticPr fontId="4" type="noConversion"/>
  </si>
  <si>
    <t>序号</t>
    <phoneticPr fontId="4" type="noConversion"/>
  </si>
  <si>
    <t>2023年秋学前受助学生数统计表</t>
    <phoneticPr fontId="4" type="noConversion"/>
  </si>
  <si>
    <t>合计</t>
    <phoneticPr fontId="4" type="noConversion"/>
  </si>
  <si>
    <t>韩佳琪</t>
  </si>
  <si>
    <t>填报单位：（公章）禹王台区学生资助管理中心       法人签字：            填表人：孟宪洋           填表时间：2023 年 10 月 25  日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</si>
</sst>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_);[Red]\(0.00\)"/>
  </numFmts>
  <fonts count="27" x14ac:knownFonts="1">
    <font>
      <sz val="11"/>
      <color theme="1"/>
      <name val="宋体"/>
      <charset val="134"/>
      <scheme val="minor"/>
    </font>
    <font>
      <b/>
      <sz val="18"/>
      <color theme="3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color rgb="FFFF0000"/>
      <name val="宋体"/>
      <family val="3"/>
      <charset val="134"/>
      <scheme val="minor"/>
    </font>
    <font>
      <b/>
      <sz val="14"/>
      <color indexed="8"/>
      <name val="宋体"/>
      <family val="3"/>
      <charset val="134"/>
    </font>
    <font>
      <b/>
      <sz val="11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0"/>
      <name val="宋体"/>
      <family val="3"/>
      <charset val="134"/>
    </font>
    <font>
      <sz val="8"/>
      <color indexed="8"/>
      <name val="宋体"/>
      <family val="3"/>
      <charset val="134"/>
    </font>
    <font>
      <sz val="8"/>
      <color rgb="FF000000"/>
      <name val="宋体"/>
      <family val="3"/>
      <charset val="134"/>
    </font>
    <font>
      <sz val="8"/>
      <color indexed="10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Tahoma"/>
      <family val="2"/>
    </font>
    <font>
      <sz val="11"/>
      <color theme="1"/>
      <name val="宋体"/>
      <family val="3"/>
      <charset val="134"/>
    </font>
    <font>
      <sz val="10"/>
      <name val="Arial"/>
      <family val="2"/>
    </font>
    <font>
      <sz val="8"/>
      <color rgb="FFFF0000"/>
      <name val="宋体"/>
      <family val="3"/>
      <charset val="134"/>
    </font>
    <font>
      <sz val="8"/>
      <name val="宋体"/>
      <family val="3"/>
      <charset val="134"/>
    </font>
    <font>
      <b/>
      <sz val="9"/>
      <name val="宋体"/>
      <family val="3"/>
      <charset val="134"/>
    </font>
    <font>
      <b/>
      <sz val="9"/>
      <name val="Tahoma"/>
      <family val="2"/>
    </font>
    <font>
      <sz val="9"/>
      <name val="Tahoma"/>
      <family val="2"/>
    </font>
    <font>
      <sz val="11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b/>
      <sz val="20"/>
      <color theme="3" tint="0.39997558519241921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4"/>
      <color rgb="FFFF0000"/>
      <name val="宋体"/>
      <family val="3"/>
      <charset val="134"/>
      <scheme val="minor"/>
    </font>
  </fonts>
  <fills count="9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CCC00"/>
        <bgColor indexed="64"/>
      </patternFill>
    </fill>
    <fill>
      <patternFill patternType="solid">
        <fgColor theme="2" tint="-9.9917600024414813E-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0" tint="-0.14996795556505021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44"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/>
    <xf numFmtId="0" fontId="14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/>
    <xf numFmtId="0" fontId="2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6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</cellStyleXfs>
  <cellXfs count="47">
    <xf numFmtId="0" fontId="0" fillId="0" borderId="0" xfId="0">
      <alignment vertical="center"/>
    </xf>
    <xf numFmtId="0" fontId="0" fillId="0" borderId="0" xfId="0" applyAlignment="1">
      <alignment wrapText="1"/>
    </xf>
    <xf numFmtId="0" fontId="2" fillId="2" borderId="2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/>
    </xf>
    <xf numFmtId="0" fontId="0" fillId="3" borderId="2" xfId="0" applyFill="1" applyBorder="1">
      <alignment vertical="center"/>
    </xf>
    <xf numFmtId="0" fontId="0" fillId="4" borderId="2" xfId="0" applyFill="1" applyBorder="1">
      <alignment vertical="center"/>
    </xf>
    <xf numFmtId="0" fontId="0" fillId="5" borderId="2" xfId="0" applyFill="1" applyBorder="1">
      <alignment vertical="center"/>
    </xf>
    <xf numFmtId="0" fontId="3" fillId="0" borderId="0" xfId="0" applyFont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9" fillId="7" borderId="2" xfId="0" applyFont="1" applyFill="1" applyBorder="1" applyAlignment="1">
      <alignment horizontal="center" vertical="center" wrapText="1"/>
    </xf>
    <xf numFmtId="49" fontId="9" fillId="7" borderId="2" xfId="0" applyNumberFormat="1" applyFont="1" applyFill="1" applyBorder="1" applyAlignment="1">
      <alignment horizontal="center" vertical="center" wrapText="1"/>
    </xf>
    <xf numFmtId="49" fontId="10" fillId="0" borderId="2" xfId="0" applyNumberFormat="1" applyFont="1" applyBorder="1" applyAlignment="1">
      <alignment horizontal="center" vertical="top" wrapText="1"/>
    </xf>
    <xf numFmtId="49" fontId="11" fillId="0" borderId="2" xfId="0" applyNumberFormat="1" applyFont="1" applyBorder="1" applyAlignment="1">
      <alignment horizontal="center" vertical="top" wrapText="1"/>
    </xf>
    <xf numFmtId="0" fontId="3" fillId="0" borderId="2" xfId="0" applyFont="1" applyBorder="1" applyAlignment="1">
      <alignment horizontal="left" vertical="center" wrapText="1"/>
    </xf>
    <xf numFmtId="49" fontId="3" fillId="0" borderId="2" xfId="0" applyNumberFormat="1" applyFont="1" applyBorder="1" applyAlignment="1">
      <alignment horizontal="left" vertical="center" wrapText="1"/>
    </xf>
    <xf numFmtId="0" fontId="3" fillId="0" borderId="2" xfId="5" applyFont="1" applyBorder="1" applyAlignment="1">
      <alignment horizontal="left" vertical="center" wrapText="1"/>
    </xf>
    <xf numFmtId="49" fontId="3" fillId="0" borderId="2" xfId="5" applyNumberFormat="1" applyFont="1" applyBorder="1" applyAlignment="1">
      <alignment horizontal="left" vertical="center" wrapText="1"/>
    </xf>
    <xf numFmtId="0" fontId="3" fillId="0" borderId="2" xfId="1" applyFont="1" applyBorder="1" applyAlignment="1">
      <alignment horizontal="left" vertical="center" wrapText="1"/>
    </xf>
    <xf numFmtId="49" fontId="3" fillId="0" borderId="2" xfId="1" applyNumberFormat="1" applyFont="1" applyBorder="1" applyAlignment="1">
      <alignment horizontal="left" vertical="center" wrapText="1"/>
    </xf>
    <xf numFmtId="176" fontId="9" fillId="7" borderId="2" xfId="24" applyNumberFormat="1" applyFont="1" applyFill="1" applyBorder="1" applyAlignment="1">
      <alignment horizontal="center" vertical="center" wrapText="1"/>
    </xf>
    <xf numFmtId="49" fontId="12" fillId="0" borderId="2" xfId="0" applyNumberFormat="1" applyFont="1" applyBorder="1" applyAlignment="1">
      <alignment horizontal="center" vertical="top" wrapText="1"/>
    </xf>
    <xf numFmtId="49" fontId="8" fillId="3" borderId="2" xfId="0" applyNumberFormat="1" applyFont="1" applyFill="1" applyBorder="1" applyAlignment="1">
      <alignment vertical="center" wrapText="1"/>
    </xf>
    <xf numFmtId="176" fontId="3" fillId="0" borderId="2" xfId="34" applyNumberFormat="1" applyFont="1" applyBorder="1" applyAlignment="1">
      <alignment horizontal="left" vertical="center" wrapText="1"/>
    </xf>
    <xf numFmtId="49" fontId="3" fillId="0" borderId="2" xfId="34" applyNumberFormat="1" applyFont="1" applyBorder="1" applyAlignment="1">
      <alignment horizontal="left" vertical="center" wrapText="1"/>
    </xf>
    <xf numFmtId="176" fontId="3" fillId="0" borderId="2" xfId="0" applyNumberFormat="1" applyFont="1" applyBorder="1" applyAlignment="1">
      <alignment horizontal="left" vertical="center" wrapText="1"/>
    </xf>
    <xf numFmtId="49" fontId="3" fillId="0" borderId="0" xfId="0" applyNumberFormat="1" applyFont="1" applyAlignment="1">
      <alignment horizontal="left" vertical="center" wrapText="1"/>
    </xf>
    <xf numFmtId="0" fontId="3" fillId="0" borderId="2" xfId="0" quotePrefix="1" applyFont="1" applyBorder="1" applyAlignment="1">
      <alignment horizontal="left" vertical="center" wrapText="1"/>
    </xf>
    <xf numFmtId="0" fontId="22" fillId="4" borderId="2" xfId="0" applyFont="1" applyFill="1" applyBorder="1">
      <alignment vertical="center"/>
    </xf>
    <xf numFmtId="0" fontId="23" fillId="0" borderId="2" xfId="0" applyFont="1" applyBorder="1" applyAlignment="1">
      <alignment horizontal="center" vertical="center"/>
    </xf>
    <xf numFmtId="0" fontId="23" fillId="3" borderId="2" xfId="0" applyFont="1" applyFill="1" applyBorder="1" applyAlignment="1">
      <alignment horizontal="center" vertical="center"/>
    </xf>
    <xf numFmtId="0" fontId="23" fillId="8" borderId="2" xfId="0" applyFont="1" applyFill="1" applyBorder="1" applyAlignment="1">
      <alignment horizontal="center" vertical="center"/>
    </xf>
    <xf numFmtId="0" fontId="26" fillId="0" borderId="2" xfId="0" applyFont="1" applyBorder="1" applyAlignment="1">
      <alignment horizontal="center" vertical="center"/>
    </xf>
    <xf numFmtId="49" fontId="6" fillId="6" borderId="3" xfId="0" applyNumberFormat="1" applyFont="1" applyFill="1" applyBorder="1" applyAlignment="1">
      <alignment horizontal="center" vertical="center" wrapText="1"/>
    </xf>
    <xf numFmtId="49" fontId="6" fillId="6" borderId="0" xfId="0" applyNumberFormat="1" applyFont="1" applyFill="1" applyAlignment="1">
      <alignment horizontal="center" vertical="center" wrapText="1"/>
    </xf>
    <xf numFmtId="49" fontId="7" fillId="0" borderId="1" xfId="0" applyNumberFormat="1" applyFont="1" applyBorder="1" applyAlignment="1">
      <alignment horizontal="left" vertical="center"/>
    </xf>
    <xf numFmtId="49" fontId="8" fillId="3" borderId="5" xfId="0" applyNumberFormat="1" applyFont="1" applyFill="1" applyBorder="1" applyAlignment="1">
      <alignment horizontal="center" vertical="center" wrapText="1"/>
    </xf>
    <xf numFmtId="49" fontId="8" fillId="3" borderId="6" xfId="0" applyNumberFormat="1" applyFont="1" applyFill="1" applyBorder="1" applyAlignment="1">
      <alignment horizontal="center" vertical="center" wrapText="1"/>
    </xf>
    <xf numFmtId="49" fontId="8" fillId="3" borderId="7" xfId="0" applyNumberFormat="1" applyFont="1" applyFill="1" applyBorder="1" applyAlignment="1">
      <alignment horizontal="center" vertical="center" wrapText="1"/>
    </xf>
    <xf numFmtId="49" fontId="8" fillId="3" borderId="4" xfId="0" applyNumberFormat="1" applyFont="1" applyFill="1" applyBorder="1" applyAlignment="1">
      <alignment horizontal="center" vertical="center" wrapText="1"/>
    </xf>
    <xf numFmtId="49" fontId="8" fillId="3" borderId="8" xfId="0" applyNumberFormat="1" applyFont="1" applyFill="1" applyBorder="1" applyAlignment="1">
      <alignment horizontal="center" vertical="center" wrapText="1"/>
    </xf>
    <xf numFmtId="49" fontId="8" fillId="3" borderId="9" xfId="0" applyNumberFormat="1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left" vertical="top" wrapText="1"/>
    </xf>
    <xf numFmtId="0" fontId="5" fillId="3" borderId="9" xfId="0" applyFont="1" applyFill="1" applyBorder="1" applyAlignment="1">
      <alignment horizontal="left" vertical="top" wrapText="1"/>
    </xf>
    <xf numFmtId="0" fontId="1" fillId="0" borderId="1" xfId="0" applyFont="1" applyBorder="1" applyAlignment="1">
      <alignment horizontal="center" vertical="center"/>
    </xf>
    <xf numFmtId="0" fontId="24" fillId="0" borderId="1" xfId="0" applyFont="1" applyBorder="1" applyAlignment="1">
      <alignment horizontal="center" vertical="center"/>
    </xf>
    <xf numFmtId="0" fontId="25" fillId="0" borderId="5" xfId="0" applyFont="1" applyBorder="1" applyAlignment="1">
      <alignment horizontal="center" vertical="center"/>
    </xf>
    <xf numFmtId="0" fontId="25" fillId="0" borderId="6" xfId="0" applyFont="1" applyBorder="1" applyAlignment="1">
      <alignment horizontal="center" vertical="center"/>
    </xf>
  </cellXfs>
  <cellStyles count="44">
    <cellStyle name="常规" xfId="0" builtinId="0"/>
    <cellStyle name="常规 10" xfId="1" xr:uid="{00000000-0005-0000-0000-000031000000}"/>
    <cellStyle name="常规 10 10" xfId="2" xr:uid="{00000000-0005-0000-0000-000032000000}"/>
    <cellStyle name="常规 10 10 2" xfId="3" xr:uid="{00000000-0005-0000-0000-000033000000}"/>
    <cellStyle name="常规 10 11" xfId="4" xr:uid="{00000000-0005-0000-0000-000034000000}"/>
    <cellStyle name="常规 10 2" xfId="5" xr:uid="{00000000-0005-0000-0000-000035000000}"/>
    <cellStyle name="常规 10 2 2 10" xfId="6" xr:uid="{00000000-0005-0000-0000-000036000000}"/>
    <cellStyle name="常规 10 2 2 2" xfId="7" xr:uid="{00000000-0005-0000-0000-000037000000}"/>
    <cellStyle name="常规 10 2 2 3 5 2 2" xfId="8" xr:uid="{00000000-0005-0000-0000-000038000000}"/>
    <cellStyle name="常规 10 5 3" xfId="9" xr:uid="{00000000-0005-0000-0000-000039000000}"/>
    <cellStyle name="常规 10 9 2" xfId="10" xr:uid="{00000000-0005-0000-0000-00003A000000}"/>
    <cellStyle name="常规 11 2 2 4 2" xfId="11" xr:uid="{00000000-0005-0000-0000-00003B000000}"/>
    <cellStyle name="常规 11 2 2 5" xfId="12" xr:uid="{00000000-0005-0000-0000-00003C000000}"/>
    <cellStyle name="常规 11 4" xfId="13" xr:uid="{00000000-0005-0000-0000-00003D000000}"/>
    <cellStyle name="常规 11 4 2" xfId="14" xr:uid="{00000000-0005-0000-0000-00003E000000}"/>
    <cellStyle name="常规 11 4 2 2 2" xfId="15" xr:uid="{00000000-0005-0000-0000-00003F000000}"/>
    <cellStyle name="常规 11 5 7" xfId="16" xr:uid="{00000000-0005-0000-0000-000040000000}"/>
    <cellStyle name="常规 11 5 7 2" xfId="17" xr:uid="{00000000-0005-0000-0000-000041000000}"/>
    <cellStyle name="常规 12" xfId="18" xr:uid="{00000000-0005-0000-0000-000042000000}"/>
    <cellStyle name="常规 13 10" xfId="19" xr:uid="{00000000-0005-0000-0000-000043000000}"/>
    <cellStyle name="常规 13 4 2 2 2" xfId="20" xr:uid="{00000000-0005-0000-0000-000044000000}"/>
    <cellStyle name="常规 14 2 2 2 2" xfId="21" xr:uid="{00000000-0005-0000-0000-000045000000}"/>
    <cellStyle name="常规 17" xfId="22" xr:uid="{00000000-0005-0000-0000-000046000000}"/>
    <cellStyle name="常规 2" xfId="23" xr:uid="{00000000-0005-0000-0000-000047000000}"/>
    <cellStyle name="常规 2 2" xfId="24" xr:uid="{00000000-0005-0000-0000-000048000000}"/>
    <cellStyle name="常规 2 2 2" xfId="25" xr:uid="{00000000-0005-0000-0000-000049000000}"/>
    <cellStyle name="常规 2 2 3 2 2 2" xfId="26" xr:uid="{00000000-0005-0000-0000-00004A000000}"/>
    <cellStyle name="常规 2 2 3 2 2 2 2 2 2 2" xfId="27" xr:uid="{00000000-0005-0000-0000-00004B000000}"/>
    <cellStyle name="常规 2 2 6 2 2 2" xfId="28" xr:uid="{00000000-0005-0000-0000-00004C000000}"/>
    <cellStyle name="常规 2 5 2 2" xfId="29" xr:uid="{00000000-0005-0000-0000-00004D000000}"/>
    <cellStyle name="常规 2 5 2 2 2 2" xfId="30" xr:uid="{00000000-0005-0000-0000-00004E000000}"/>
    <cellStyle name="常规 2 5 2 3" xfId="31" xr:uid="{00000000-0005-0000-0000-00004F000000}"/>
    <cellStyle name="常规 20" xfId="32" xr:uid="{00000000-0005-0000-0000-000050000000}"/>
    <cellStyle name="常规 20 2" xfId="33" xr:uid="{00000000-0005-0000-0000-000051000000}"/>
    <cellStyle name="常规 21" xfId="34" xr:uid="{00000000-0005-0000-0000-000052000000}"/>
    <cellStyle name="常规 3" xfId="35" xr:uid="{00000000-0005-0000-0000-000053000000}"/>
    <cellStyle name="常规 4 2" xfId="36" xr:uid="{00000000-0005-0000-0000-000054000000}"/>
    <cellStyle name="常规 5" xfId="37" xr:uid="{00000000-0005-0000-0000-000055000000}"/>
    <cellStyle name="常规 9 2" xfId="38" xr:uid="{00000000-0005-0000-0000-000056000000}"/>
    <cellStyle name="常规 9 2 2 2 2" xfId="39" xr:uid="{00000000-0005-0000-0000-000057000000}"/>
    <cellStyle name="常规 9 2 2 2 2 2 2 2" xfId="40" xr:uid="{00000000-0005-0000-0000-000058000000}"/>
    <cellStyle name="常规 9 2 4" xfId="41" xr:uid="{00000000-0005-0000-0000-000059000000}"/>
    <cellStyle name="常规 9 4 2 10 2" xfId="42" xr:uid="{00000000-0005-0000-0000-00005A000000}"/>
    <cellStyle name="常规 9 4 2 2 2 2 2" xfId="43" xr:uid="{00000000-0005-0000-0000-00005B000000}"/>
  </cellStyles>
  <dxfs count="0"/>
  <tableStyles count="0" defaultTableStyle="TableStyleMedium9" defaultPivotStyle="PivotStyleLight16"/>
  <colors>
    <mruColors>
      <color rgb="FFCCCC00"/>
      <color rgb="FFFFCC99"/>
      <color rgb="FFCCFF33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28"/>
  <sheetViews>
    <sheetView tabSelected="1" workbookViewId="0">
      <selection activeCell="N13" sqref="N13"/>
    </sheetView>
  </sheetViews>
  <sheetFormatPr defaultColWidth="9" defaultRowHeight="13.5" x14ac:dyDescent="0.15"/>
  <cols>
    <col min="1" max="1" width="5.25" style="8" customWidth="1"/>
    <col min="2" max="2" width="8.75" style="8" customWidth="1"/>
    <col min="3" max="3" width="5.375" style="8" customWidth="1"/>
    <col min="4" max="4" width="5.25" style="8" customWidth="1"/>
    <col min="5" max="5" width="7.625" style="8" customWidth="1"/>
    <col min="6" max="6" width="7.375" style="8" customWidth="1"/>
    <col min="7" max="7" width="4.25" style="8" customWidth="1"/>
    <col min="8" max="10" width="5.25" style="8" customWidth="1"/>
    <col min="11" max="12" width="9" style="8"/>
    <col min="13" max="13" width="6.75" style="8" customWidth="1"/>
    <col min="14" max="14" width="6.875" style="8" customWidth="1"/>
    <col min="15" max="15" width="9" style="8"/>
    <col min="16" max="17" width="9.75" style="8" bestFit="1" customWidth="1"/>
    <col min="18" max="18" width="8.625" style="8" customWidth="1"/>
    <col min="19" max="19" width="12.875" style="8" customWidth="1"/>
    <col min="20" max="20" width="9.5" style="8" customWidth="1"/>
    <col min="21" max="21" width="9.625" style="8" customWidth="1"/>
    <col min="22" max="22" width="13" style="8" customWidth="1"/>
    <col min="23" max="24" width="19.25" style="8" customWidth="1"/>
    <col min="25" max="25" width="21.375" style="8" customWidth="1"/>
    <col min="26" max="26" width="13" style="8" customWidth="1"/>
    <col min="27" max="27" width="17.25" style="8" customWidth="1"/>
    <col min="28" max="28" width="13" style="8" customWidth="1"/>
    <col min="29" max="30" width="9" style="8"/>
    <col min="31" max="31" width="15.125" style="8" customWidth="1"/>
    <col min="32" max="32" width="17.25" style="8" customWidth="1"/>
    <col min="33" max="16384" width="9" style="8"/>
  </cols>
  <sheetData>
    <row r="1" spans="1:20" ht="30" customHeight="1" x14ac:dyDescent="0.15">
      <c r="A1" s="32" t="s">
        <v>0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</row>
    <row r="2" spans="1:20" ht="24.75" customHeight="1" x14ac:dyDescent="0.15">
      <c r="A2" s="34" t="s">
        <v>111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</row>
    <row r="3" spans="1:20" ht="25.5" customHeight="1" x14ac:dyDescent="0.15">
      <c r="A3" s="38" t="s">
        <v>1</v>
      </c>
      <c r="B3" s="35" t="s">
        <v>2</v>
      </c>
      <c r="C3" s="36"/>
      <c r="D3" s="35" t="s">
        <v>3</v>
      </c>
      <c r="E3" s="37"/>
      <c r="F3" s="37"/>
      <c r="G3" s="37"/>
      <c r="H3" s="37"/>
      <c r="I3" s="37"/>
      <c r="J3" s="36"/>
      <c r="K3" s="35" t="s">
        <v>4</v>
      </c>
      <c r="L3" s="37"/>
      <c r="M3" s="37"/>
      <c r="N3" s="37"/>
      <c r="O3" s="35" t="s">
        <v>5</v>
      </c>
      <c r="P3" s="37"/>
      <c r="Q3" s="37"/>
      <c r="R3" s="36"/>
      <c r="S3" s="21" t="s">
        <v>6</v>
      </c>
      <c r="T3" s="3" t="s">
        <v>7</v>
      </c>
    </row>
    <row r="4" spans="1:20" ht="36" x14ac:dyDescent="0.15">
      <c r="A4" s="39"/>
      <c r="B4" s="9" t="s">
        <v>8</v>
      </c>
      <c r="C4" s="9" t="s">
        <v>9</v>
      </c>
      <c r="D4" s="9" t="s">
        <v>10</v>
      </c>
      <c r="E4" s="10" t="s">
        <v>11</v>
      </c>
      <c r="F4" s="10" t="s">
        <v>12</v>
      </c>
      <c r="G4" s="9" t="s">
        <v>13</v>
      </c>
      <c r="H4" s="9" t="s">
        <v>14</v>
      </c>
      <c r="I4" s="9" t="s">
        <v>15</v>
      </c>
      <c r="J4" s="9" t="s">
        <v>16</v>
      </c>
      <c r="K4" s="9" t="s">
        <v>17</v>
      </c>
      <c r="L4" s="10" t="s">
        <v>18</v>
      </c>
      <c r="M4" s="10" t="s">
        <v>19</v>
      </c>
      <c r="N4" s="10" t="s">
        <v>20</v>
      </c>
      <c r="O4" s="19" t="s">
        <v>21</v>
      </c>
      <c r="P4" s="19" t="s">
        <v>22</v>
      </c>
      <c r="Q4" s="9" t="s">
        <v>23</v>
      </c>
      <c r="R4" s="9" t="s">
        <v>24</v>
      </c>
      <c r="S4" s="9" t="s">
        <v>25</v>
      </c>
      <c r="T4" s="41" t="s">
        <v>26</v>
      </c>
    </row>
    <row r="5" spans="1:20" ht="22.5" customHeight="1" x14ac:dyDescent="0.15">
      <c r="A5" s="40"/>
      <c r="B5" s="11" t="s">
        <v>27</v>
      </c>
      <c r="C5" s="12" t="s">
        <v>28</v>
      </c>
      <c r="D5" s="11" t="s">
        <v>29</v>
      </c>
      <c r="E5" s="11" t="s">
        <v>30</v>
      </c>
      <c r="F5" s="11" t="s">
        <v>31</v>
      </c>
      <c r="G5" s="11" t="s">
        <v>32</v>
      </c>
      <c r="H5" s="11" t="s">
        <v>33</v>
      </c>
      <c r="I5" s="11" t="s">
        <v>34</v>
      </c>
      <c r="J5" s="11" t="s">
        <v>35</v>
      </c>
      <c r="K5" s="11" t="s">
        <v>36</v>
      </c>
      <c r="L5" s="11" t="s">
        <v>37</v>
      </c>
      <c r="M5" s="20" t="s">
        <v>38</v>
      </c>
      <c r="N5" s="20" t="s">
        <v>39</v>
      </c>
      <c r="O5" s="20" t="s">
        <v>40</v>
      </c>
      <c r="P5" s="20"/>
      <c r="Q5" s="20" t="s">
        <v>38</v>
      </c>
      <c r="R5" s="20" t="s">
        <v>41</v>
      </c>
      <c r="S5" s="11" t="s">
        <v>42</v>
      </c>
      <c r="T5" s="42"/>
    </row>
    <row r="6" spans="1:20" s="7" customFormat="1" ht="21.95" customHeight="1" x14ac:dyDescent="0.15">
      <c r="A6" s="13">
        <v>1</v>
      </c>
      <c r="B6" s="13" t="s">
        <v>43</v>
      </c>
      <c r="C6" s="13" t="s">
        <v>44</v>
      </c>
      <c r="D6" s="13" t="s">
        <v>45</v>
      </c>
      <c r="E6" s="13"/>
      <c r="F6" s="14"/>
      <c r="G6" s="13"/>
      <c r="H6" s="14"/>
      <c r="I6" s="14"/>
      <c r="J6" s="14"/>
      <c r="K6" s="13"/>
      <c r="L6" s="14"/>
      <c r="M6" s="14"/>
      <c r="N6" s="13"/>
      <c r="O6" s="13"/>
      <c r="P6" s="26"/>
      <c r="Q6" s="14"/>
      <c r="R6" s="22">
        <v>200</v>
      </c>
      <c r="S6" s="13" t="s">
        <v>46</v>
      </c>
      <c r="T6" s="13"/>
    </row>
    <row r="7" spans="1:20" s="7" customFormat="1" ht="21.95" customHeight="1" x14ac:dyDescent="0.15">
      <c r="A7" s="13">
        <v>2</v>
      </c>
      <c r="B7" s="13" t="s">
        <v>74</v>
      </c>
      <c r="C7" s="13" t="s">
        <v>81</v>
      </c>
      <c r="D7" s="13" t="s">
        <v>82</v>
      </c>
      <c r="E7" s="13"/>
      <c r="F7" s="14"/>
      <c r="G7" s="13"/>
      <c r="H7" s="14"/>
      <c r="I7" s="14"/>
      <c r="J7" s="14"/>
      <c r="K7" s="13"/>
      <c r="L7" s="14"/>
      <c r="M7" s="14"/>
      <c r="N7" s="13"/>
      <c r="O7" s="13"/>
      <c r="P7" s="13"/>
      <c r="Q7" s="14"/>
      <c r="R7" s="22">
        <v>200</v>
      </c>
      <c r="S7" s="13" t="s">
        <v>49</v>
      </c>
      <c r="T7" s="13"/>
    </row>
    <row r="8" spans="1:20" s="7" customFormat="1" ht="21.95" customHeight="1" x14ac:dyDescent="0.15">
      <c r="A8" s="13">
        <v>3</v>
      </c>
      <c r="B8" s="13" t="s">
        <v>74</v>
      </c>
      <c r="C8" s="13" t="s">
        <v>81</v>
      </c>
      <c r="D8" s="15" t="s">
        <v>83</v>
      </c>
      <c r="E8" s="16"/>
      <c r="F8" s="16"/>
      <c r="G8" s="13"/>
      <c r="H8" s="14"/>
      <c r="I8" s="14"/>
      <c r="J8" s="14"/>
      <c r="K8" s="15"/>
      <c r="L8" s="15"/>
      <c r="M8" s="16"/>
      <c r="N8" s="15"/>
      <c r="O8" s="15"/>
      <c r="P8" s="15"/>
      <c r="Q8" s="14"/>
      <c r="R8" s="22">
        <v>200</v>
      </c>
      <c r="S8" s="13" t="s">
        <v>49</v>
      </c>
      <c r="T8" s="13"/>
    </row>
    <row r="9" spans="1:20" s="7" customFormat="1" ht="21.95" customHeight="1" x14ac:dyDescent="0.15">
      <c r="A9" s="13">
        <v>4</v>
      </c>
      <c r="B9" s="13" t="s">
        <v>74</v>
      </c>
      <c r="C9" s="13" t="s">
        <v>81</v>
      </c>
      <c r="D9" s="17" t="s">
        <v>84</v>
      </c>
      <c r="E9" s="17"/>
      <c r="F9" s="18"/>
      <c r="G9" s="17"/>
      <c r="H9" s="18"/>
      <c r="I9" s="18"/>
      <c r="J9" s="18"/>
      <c r="K9" s="17"/>
      <c r="L9" s="17"/>
      <c r="M9" s="18"/>
      <c r="N9" s="15"/>
      <c r="O9" s="17"/>
      <c r="P9" s="17"/>
      <c r="Q9" s="23"/>
      <c r="R9" s="22">
        <v>200</v>
      </c>
      <c r="S9" s="13" t="s">
        <v>49</v>
      </c>
      <c r="T9" s="13"/>
    </row>
    <row r="10" spans="1:20" s="7" customFormat="1" ht="21.95" customHeight="1" x14ac:dyDescent="0.15">
      <c r="A10" s="13">
        <v>5</v>
      </c>
      <c r="B10" s="13" t="s">
        <v>74</v>
      </c>
      <c r="C10" s="13" t="s">
        <v>81</v>
      </c>
      <c r="D10" s="15" t="s">
        <v>85</v>
      </c>
      <c r="E10" s="16"/>
      <c r="F10" s="16"/>
      <c r="G10" s="13"/>
      <c r="H10" s="14"/>
      <c r="I10" s="14"/>
      <c r="J10" s="14"/>
      <c r="K10" s="15"/>
      <c r="L10" s="15"/>
      <c r="M10" s="16"/>
      <c r="N10" s="15"/>
      <c r="O10" s="15"/>
      <c r="P10" s="15"/>
      <c r="Q10" s="14"/>
      <c r="R10" s="22">
        <v>200</v>
      </c>
      <c r="S10" s="13" t="s">
        <v>49</v>
      </c>
      <c r="T10" s="13"/>
    </row>
    <row r="11" spans="1:20" s="7" customFormat="1" ht="21.95" customHeight="1" x14ac:dyDescent="0.15">
      <c r="A11" s="13">
        <v>6</v>
      </c>
      <c r="B11" s="13" t="s">
        <v>74</v>
      </c>
      <c r="C11" s="13" t="s">
        <v>81</v>
      </c>
      <c r="D11" s="17" t="s">
        <v>86</v>
      </c>
      <c r="E11" s="18"/>
      <c r="F11" s="18"/>
      <c r="G11" s="17"/>
      <c r="H11" s="18"/>
      <c r="I11" s="18"/>
      <c r="J11" s="18"/>
      <c r="K11" s="17"/>
      <c r="L11" s="17"/>
      <c r="M11" s="18"/>
      <c r="N11" s="15"/>
      <c r="O11" s="17"/>
      <c r="P11" s="17"/>
      <c r="Q11" s="23"/>
      <c r="R11" s="22">
        <v>200</v>
      </c>
      <c r="S11" s="13" t="s">
        <v>49</v>
      </c>
      <c r="T11" s="13"/>
    </row>
    <row r="12" spans="1:20" s="7" customFormat="1" ht="21.95" customHeight="1" x14ac:dyDescent="0.15">
      <c r="A12" s="13">
        <v>7</v>
      </c>
      <c r="B12" s="13" t="s">
        <v>74</v>
      </c>
      <c r="C12" s="13" t="s">
        <v>81</v>
      </c>
      <c r="D12" s="13" t="s">
        <v>87</v>
      </c>
      <c r="E12" s="13"/>
      <c r="F12" s="14"/>
      <c r="G12" s="13"/>
      <c r="H12" s="14"/>
      <c r="I12" s="14"/>
      <c r="J12" s="14"/>
      <c r="K12" s="13"/>
      <c r="L12" s="14"/>
      <c r="M12" s="14"/>
      <c r="N12" s="13"/>
      <c r="O12" s="13"/>
      <c r="P12" s="13"/>
      <c r="Q12" s="14"/>
      <c r="R12" s="22">
        <v>200</v>
      </c>
      <c r="S12" s="13" t="s">
        <v>55</v>
      </c>
      <c r="T12" s="13"/>
    </row>
    <row r="13" spans="1:20" s="7" customFormat="1" ht="21.95" customHeight="1" x14ac:dyDescent="0.15">
      <c r="A13" s="13">
        <v>8</v>
      </c>
      <c r="B13" s="13" t="s">
        <v>78</v>
      </c>
      <c r="C13" s="13" t="s">
        <v>81</v>
      </c>
      <c r="D13" s="17" t="s">
        <v>88</v>
      </c>
      <c r="E13" s="18"/>
      <c r="F13" s="18"/>
      <c r="G13" s="17"/>
      <c r="H13" s="18"/>
      <c r="I13" s="18"/>
      <c r="J13" s="18"/>
      <c r="K13" s="17"/>
      <c r="L13" s="17"/>
      <c r="M13" s="18"/>
      <c r="N13" s="15"/>
      <c r="O13" s="17"/>
      <c r="P13" s="17"/>
      <c r="Q13" s="23"/>
      <c r="R13" s="22">
        <v>200</v>
      </c>
      <c r="S13" s="13" t="s">
        <v>46</v>
      </c>
      <c r="T13" s="13"/>
    </row>
    <row r="14" spans="1:20" s="7" customFormat="1" ht="21.95" customHeight="1" x14ac:dyDescent="0.15">
      <c r="A14" s="13">
        <v>9</v>
      </c>
      <c r="B14" s="13" t="s">
        <v>76</v>
      </c>
      <c r="C14" s="13" t="s">
        <v>81</v>
      </c>
      <c r="D14" s="13" t="s">
        <v>89</v>
      </c>
      <c r="E14" s="13"/>
      <c r="F14" s="14"/>
      <c r="G14" s="13"/>
      <c r="H14" s="14"/>
      <c r="I14" s="14"/>
      <c r="J14" s="14"/>
      <c r="K14" s="13"/>
      <c r="L14" s="14"/>
      <c r="M14" s="14"/>
      <c r="N14" s="13"/>
      <c r="O14" s="13"/>
      <c r="P14" s="13"/>
      <c r="Q14" s="14"/>
      <c r="R14" s="24">
        <v>200</v>
      </c>
      <c r="S14" s="13" t="s">
        <v>55</v>
      </c>
      <c r="T14" s="13"/>
    </row>
    <row r="15" spans="1:20" s="7" customFormat="1" ht="21.95" customHeight="1" x14ac:dyDescent="0.15">
      <c r="A15" s="13">
        <v>10</v>
      </c>
      <c r="B15" s="13" t="s">
        <v>73</v>
      </c>
      <c r="C15" s="13" t="s">
        <v>81</v>
      </c>
      <c r="D15" s="13" t="s">
        <v>90</v>
      </c>
      <c r="E15" s="13"/>
      <c r="F15" s="14"/>
      <c r="G15" s="13"/>
      <c r="H15" s="14"/>
      <c r="I15" s="14"/>
      <c r="J15" s="14"/>
      <c r="K15" s="13"/>
      <c r="L15" s="14"/>
      <c r="M15" s="14"/>
      <c r="N15" s="13"/>
      <c r="O15" s="14"/>
      <c r="P15" s="14"/>
      <c r="Q15" s="14"/>
      <c r="R15" s="24">
        <v>200</v>
      </c>
      <c r="S15" s="13" t="s">
        <v>49</v>
      </c>
      <c r="T15" s="13"/>
    </row>
    <row r="16" spans="1:20" s="7" customFormat="1" ht="21.95" customHeight="1" x14ac:dyDescent="0.15">
      <c r="A16" s="13">
        <v>11</v>
      </c>
      <c r="B16" s="13" t="s">
        <v>73</v>
      </c>
      <c r="C16" s="13" t="s">
        <v>81</v>
      </c>
      <c r="D16" s="13" t="s">
        <v>91</v>
      </c>
      <c r="E16" s="13"/>
      <c r="F16" s="13"/>
      <c r="G16" s="13"/>
      <c r="H16" s="14"/>
      <c r="I16" s="14"/>
      <c r="J16" s="14"/>
      <c r="K16" s="13"/>
      <c r="L16" s="13"/>
      <c r="M16" s="13"/>
      <c r="N16" s="13"/>
      <c r="O16" s="13"/>
      <c r="P16" s="13"/>
      <c r="Q16" s="13"/>
      <c r="R16" s="24">
        <v>200</v>
      </c>
      <c r="S16" s="13" t="s">
        <v>46</v>
      </c>
      <c r="T16" s="13"/>
    </row>
    <row r="17" spans="1:20" s="7" customFormat="1" ht="21.95" customHeight="1" x14ac:dyDescent="0.15">
      <c r="A17" s="13">
        <v>12</v>
      </c>
      <c r="B17" s="13" t="s">
        <v>73</v>
      </c>
      <c r="C17" s="13" t="s">
        <v>81</v>
      </c>
      <c r="D17" s="13" t="s">
        <v>92</v>
      </c>
      <c r="E17" s="13"/>
      <c r="F17" s="13"/>
      <c r="G17" s="13"/>
      <c r="H17" s="14"/>
      <c r="I17" s="14"/>
      <c r="J17" s="14"/>
      <c r="K17" s="13"/>
      <c r="L17" s="13"/>
      <c r="M17" s="13"/>
      <c r="N17" s="13"/>
      <c r="O17" s="13"/>
      <c r="P17" s="13"/>
      <c r="Q17" s="13"/>
      <c r="R17" s="24">
        <v>200</v>
      </c>
      <c r="S17" s="13" t="s">
        <v>46</v>
      </c>
      <c r="T17" s="13"/>
    </row>
    <row r="18" spans="1:20" s="7" customFormat="1" ht="21.95" customHeight="1" x14ac:dyDescent="0.15">
      <c r="A18" s="13">
        <v>13</v>
      </c>
      <c r="B18" s="13" t="s">
        <v>77</v>
      </c>
      <c r="C18" s="13" t="s">
        <v>81</v>
      </c>
      <c r="D18" s="13" t="s">
        <v>93</v>
      </c>
      <c r="E18" s="13"/>
      <c r="F18" s="13"/>
      <c r="G18" s="13"/>
      <c r="H18" s="14"/>
      <c r="I18" s="14"/>
      <c r="J18" s="14"/>
      <c r="K18" s="13"/>
      <c r="L18" s="13"/>
      <c r="M18" s="13"/>
      <c r="N18" s="13"/>
      <c r="O18" s="13"/>
      <c r="P18" s="14"/>
      <c r="Q18" s="14"/>
      <c r="R18" s="24">
        <v>200</v>
      </c>
      <c r="S18" s="13" t="s">
        <v>49</v>
      </c>
      <c r="T18" s="13"/>
    </row>
    <row r="19" spans="1:20" s="7" customFormat="1" ht="21.95" customHeight="1" x14ac:dyDescent="0.15">
      <c r="A19" s="13">
        <v>14</v>
      </c>
      <c r="B19" s="13" t="s">
        <v>77</v>
      </c>
      <c r="C19" s="13" t="s">
        <v>81</v>
      </c>
      <c r="D19" s="13" t="s">
        <v>94</v>
      </c>
      <c r="E19" s="13"/>
      <c r="F19" s="13"/>
      <c r="G19" s="13"/>
      <c r="H19" s="14"/>
      <c r="I19" s="14"/>
      <c r="J19" s="14"/>
      <c r="K19" s="13"/>
      <c r="L19" s="13"/>
      <c r="M19" s="13"/>
      <c r="N19" s="13"/>
      <c r="O19" s="13"/>
      <c r="P19" s="13"/>
      <c r="Q19" s="13"/>
      <c r="R19" s="24">
        <v>200</v>
      </c>
      <c r="S19" s="13" t="s">
        <v>55</v>
      </c>
      <c r="T19" s="13"/>
    </row>
    <row r="20" spans="1:20" s="7" customFormat="1" ht="21.95" customHeight="1" x14ac:dyDescent="0.15">
      <c r="A20" s="13">
        <v>15</v>
      </c>
      <c r="B20" s="13" t="s">
        <v>69</v>
      </c>
      <c r="C20" s="13" t="s">
        <v>81</v>
      </c>
      <c r="D20" s="13" t="s">
        <v>95</v>
      </c>
      <c r="E20" s="13"/>
      <c r="F20" s="13"/>
      <c r="G20" s="13"/>
      <c r="H20" s="14"/>
      <c r="I20" s="14"/>
      <c r="J20" s="14"/>
      <c r="K20" s="13"/>
      <c r="L20" s="13"/>
      <c r="M20" s="13"/>
      <c r="N20" s="13"/>
      <c r="O20" s="13"/>
      <c r="P20" s="13"/>
      <c r="Q20" s="13"/>
      <c r="R20" s="24">
        <v>200</v>
      </c>
      <c r="S20" s="13" t="s">
        <v>46</v>
      </c>
      <c r="T20" s="13"/>
    </row>
    <row r="21" spans="1:20" s="7" customFormat="1" ht="21.95" customHeight="1" x14ac:dyDescent="0.15">
      <c r="A21" s="13">
        <v>16</v>
      </c>
      <c r="B21" s="13" t="s">
        <v>69</v>
      </c>
      <c r="C21" s="13" t="s">
        <v>81</v>
      </c>
      <c r="D21" s="13" t="s">
        <v>110</v>
      </c>
      <c r="E21" s="13"/>
      <c r="F21" s="13"/>
      <c r="G21" s="13"/>
      <c r="H21" s="14"/>
      <c r="I21" s="14"/>
      <c r="J21" s="14"/>
      <c r="K21" s="13"/>
      <c r="L21" s="13"/>
      <c r="M21" s="13"/>
      <c r="N21" s="13"/>
      <c r="O21" s="13"/>
      <c r="R21" s="24">
        <v>200</v>
      </c>
      <c r="S21" s="13" t="s">
        <v>50</v>
      </c>
      <c r="T21" s="13"/>
    </row>
    <row r="22" spans="1:20" s="7" customFormat="1" ht="21.95" customHeight="1" x14ac:dyDescent="0.15">
      <c r="A22" s="13">
        <v>17</v>
      </c>
      <c r="B22" s="13" t="s">
        <v>71</v>
      </c>
      <c r="C22" s="13" t="s">
        <v>81</v>
      </c>
      <c r="D22" s="13" t="s">
        <v>102</v>
      </c>
      <c r="E22" s="13"/>
      <c r="F22" s="13"/>
      <c r="G22" s="13"/>
      <c r="H22" s="14"/>
      <c r="I22" s="14"/>
      <c r="J22" s="14"/>
      <c r="K22" s="13"/>
      <c r="L22" s="14"/>
      <c r="M22" s="14"/>
      <c r="N22" s="13"/>
      <c r="O22" s="13"/>
      <c r="Q22" s="25"/>
      <c r="R22" s="24">
        <v>200</v>
      </c>
      <c r="S22" s="13" t="s">
        <v>49</v>
      </c>
      <c r="T22" s="13"/>
    </row>
    <row r="23" spans="1:20" s="7" customFormat="1" ht="21.95" customHeight="1" x14ac:dyDescent="0.15">
      <c r="A23" s="13">
        <v>18</v>
      </c>
      <c r="B23" s="13" t="s">
        <v>64</v>
      </c>
      <c r="C23" s="13" t="s">
        <v>96</v>
      </c>
      <c r="D23" s="13" t="s">
        <v>97</v>
      </c>
      <c r="E23" s="13"/>
      <c r="F23" s="14"/>
      <c r="G23" s="13"/>
      <c r="H23" s="14"/>
      <c r="I23" s="14"/>
      <c r="J23" s="14"/>
      <c r="K23" s="13"/>
      <c r="L23" s="14"/>
      <c r="M23" s="14"/>
      <c r="N23" s="13"/>
      <c r="O23" s="13"/>
      <c r="P23" s="13"/>
      <c r="Q23" s="14"/>
      <c r="R23" s="24">
        <v>200</v>
      </c>
      <c r="S23" s="13" t="s">
        <v>55</v>
      </c>
      <c r="T23" s="13"/>
    </row>
    <row r="24" spans="1:20" s="7" customFormat="1" ht="21.95" customHeight="1" x14ac:dyDescent="0.15">
      <c r="A24" s="13">
        <v>19</v>
      </c>
      <c r="B24" s="13" t="s">
        <v>64</v>
      </c>
      <c r="C24" s="13" t="s">
        <v>96</v>
      </c>
      <c r="D24" s="13" t="s">
        <v>98</v>
      </c>
      <c r="E24" s="13"/>
      <c r="F24" s="14"/>
      <c r="G24" s="13"/>
      <c r="H24" s="14"/>
      <c r="I24" s="14"/>
      <c r="J24" s="14"/>
      <c r="K24" s="13"/>
      <c r="L24" s="14"/>
      <c r="M24" s="14"/>
      <c r="N24" s="13"/>
      <c r="O24" s="13"/>
      <c r="P24" s="13"/>
      <c r="Q24" s="14"/>
      <c r="R24" s="24">
        <v>200</v>
      </c>
      <c r="S24" s="13" t="s">
        <v>46</v>
      </c>
      <c r="T24" s="13"/>
    </row>
    <row r="25" spans="1:20" s="7" customFormat="1" ht="21.95" customHeight="1" x14ac:dyDescent="0.15">
      <c r="A25" s="13">
        <v>20</v>
      </c>
      <c r="B25" s="13" t="s">
        <v>64</v>
      </c>
      <c r="C25" s="13" t="s">
        <v>96</v>
      </c>
      <c r="D25" s="13" t="s">
        <v>99</v>
      </c>
      <c r="E25" s="13"/>
      <c r="F25" s="13"/>
      <c r="G25" s="13"/>
      <c r="H25" s="14"/>
      <c r="I25" s="14"/>
      <c r="J25" s="14"/>
      <c r="K25" s="13"/>
      <c r="L25" s="13"/>
      <c r="M25" s="13"/>
      <c r="N25" s="13"/>
      <c r="O25" s="13"/>
      <c r="P25" s="13"/>
      <c r="Q25" s="13"/>
      <c r="R25" s="24">
        <v>200</v>
      </c>
      <c r="S25" s="13" t="s">
        <v>49</v>
      </c>
      <c r="T25" s="13"/>
    </row>
    <row r="26" spans="1:20" s="7" customFormat="1" ht="21.95" customHeight="1" x14ac:dyDescent="0.15">
      <c r="A26" s="13">
        <v>21</v>
      </c>
      <c r="B26" s="13" t="s">
        <v>80</v>
      </c>
      <c r="C26" s="13" t="s">
        <v>96</v>
      </c>
      <c r="D26" s="13" t="s">
        <v>100</v>
      </c>
      <c r="E26" s="13"/>
      <c r="F26" s="13"/>
      <c r="G26" s="13"/>
      <c r="H26" s="14"/>
      <c r="I26" s="14"/>
      <c r="J26" s="14"/>
      <c r="K26" s="13"/>
      <c r="L26" s="13"/>
      <c r="M26" s="13"/>
      <c r="N26" s="13"/>
      <c r="O26" s="13"/>
      <c r="P26" s="13"/>
      <c r="Q26" s="13"/>
      <c r="R26" s="24">
        <v>200</v>
      </c>
      <c r="S26" s="13" t="s">
        <v>55</v>
      </c>
      <c r="T26" s="13"/>
    </row>
    <row r="27" spans="1:20" s="7" customFormat="1" ht="21.95" customHeight="1" x14ac:dyDescent="0.15">
      <c r="A27" s="13">
        <v>22</v>
      </c>
      <c r="B27" s="13" t="s">
        <v>80</v>
      </c>
      <c r="C27" s="13" t="s">
        <v>96</v>
      </c>
      <c r="D27" s="13" t="s">
        <v>101</v>
      </c>
      <c r="E27" s="13"/>
      <c r="F27" s="13"/>
      <c r="G27" s="13"/>
      <c r="H27" s="14"/>
      <c r="I27" s="14"/>
      <c r="J27" s="14"/>
      <c r="K27" s="13"/>
      <c r="L27" s="13"/>
      <c r="M27" s="13"/>
      <c r="N27" s="13"/>
      <c r="O27" s="13"/>
      <c r="P27" s="13"/>
      <c r="Q27" s="13"/>
      <c r="R27" s="24">
        <v>200</v>
      </c>
      <c r="S27" s="13" t="s">
        <v>55</v>
      </c>
      <c r="T27" s="13"/>
    </row>
    <row r="28" spans="1:20" s="7" customFormat="1" ht="21.95" customHeight="1" x14ac:dyDescent="0.15">
      <c r="A28" s="13">
        <v>23</v>
      </c>
      <c r="B28" s="13"/>
      <c r="C28" s="13"/>
      <c r="D28" s="13"/>
      <c r="E28" s="13"/>
      <c r="F28" s="13"/>
      <c r="G28" s="13"/>
      <c r="H28" s="14"/>
      <c r="I28" s="14"/>
      <c r="J28" s="14"/>
      <c r="K28" s="13"/>
      <c r="L28" s="13"/>
      <c r="M28" s="13"/>
      <c r="N28" s="13"/>
      <c r="O28" s="13"/>
      <c r="P28" s="13"/>
      <c r="Q28" s="13"/>
      <c r="R28" s="24"/>
      <c r="S28" s="13"/>
      <c r="T28" s="13"/>
    </row>
  </sheetData>
  <sheetProtection formatCells="0" formatColumns="0" formatRows="0" insertHyperlinks="0" autoFilter="0" pivotTables="0"/>
  <mergeCells count="8">
    <mergeCell ref="A1:S1"/>
    <mergeCell ref="A2:T2"/>
    <mergeCell ref="B3:C3"/>
    <mergeCell ref="D3:J3"/>
    <mergeCell ref="K3:N3"/>
    <mergeCell ref="O3:R3"/>
    <mergeCell ref="A3:A5"/>
    <mergeCell ref="T4:T5"/>
  </mergeCells>
  <phoneticPr fontId="4" type="noConversion"/>
  <dataValidations count="2">
    <dataValidation type="list" allowBlank="1" showInputMessage="1" showErrorMessage="1" sqref="B6:B28" xr:uid="{00000000-0002-0000-0000-000001000000}">
      <formula1>学校名称</formula1>
    </dataValidation>
    <dataValidation type="list" allowBlank="1" showInputMessage="1" showErrorMessage="1" sqref="S6:S28" xr:uid="{00000000-0002-0000-0000-000002000000}">
      <formula1>困难类型</formula1>
    </dataValidation>
  </dataValidations>
  <pageMargins left="0.25" right="0.25" top="0.75" bottom="0.75" header="0.3" footer="0.3"/>
  <pageSetup paperSize="9" orientation="landscape" horizontalDpi="200" verticalDpi="300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21"/>
  <sheetViews>
    <sheetView workbookViewId="0">
      <selection activeCell="S11" sqref="S11"/>
    </sheetView>
  </sheetViews>
  <sheetFormatPr defaultColWidth="9" defaultRowHeight="13.5" x14ac:dyDescent="0.15"/>
  <cols>
    <col min="1" max="1" width="16.25" customWidth="1"/>
    <col min="2" max="15" width="7.125" customWidth="1"/>
  </cols>
  <sheetData>
    <row r="1" spans="1:16" ht="22.5" x14ac:dyDescent="0.15">
      <c r="A1" s="43" t="s">
        <v>47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</row>
    <row r="2" spans="1:16" s="1" customFormat="1" ht="76.5" customHeight="1" x14ac:dyDescent="0.15">
      <c r="A2" s="2" t="s">
        <v>8</v>
      </c>
      <c r="B2" s="2" t="s">
        <v>48</v>
      </c>
      <c r="C2" s="2" t="s">
        <v>49</v>
      </c>
      <c r="D2" s="2" t="s">
        <v>50</v>
      </c>
      <c r="E2" s="2" t="s">
        <v>51</v>
      </c>
      <c r="F2" s="2" t="s">
        <v>52</v>
      </c>
      <c r="G2" s="2" t="s">
        <v>53</v>
      </c>
      <c r="H2" s="2" t="s">
        <v>54</v>
      </c>
      <c r="I2" s="2" t="s">
        <v>55</v>
      </c>
      <c r="J2" s="2" t="s">
        <v>56</v>
      </c>
      <c r="K2" s="2" t="s">
        <v>57</v>
      </c>
      <c r="L2" s="2" t="s">
        <v>58</v>
      </c>
      <c r="M2" s="2" t="s">
        <v>46</v>
      </c>
      <c r="N2" s="2" t="s">
        <v>59</v>
      </c>
      <c r="O2" s="2" t="s">
        <v>60</v>
      </c>
      <c r="P2" s="2" t="s">
        <v>61</v>
      </c>
    </row>
    <row r="3" spans="1:16" ht="18" customHeight="1" x14ac:dyDescent="0.15">
      <c r="A3" s="3" t="s">
        <v>62</v>
      </c>
      <c r="B3" s="4">
        <f>C3+D3+E3+F3+G3+H3+I3+J3+K3+L3+M3+N3+O3+P3</f>
        <v>6</v>
      </c>
      <c r="C3" s="4">
        <f t="shared" ref="C3:P3" si="0">SUM(C4:C21)</f>
        <v>1</v>
      </c>
      <c r="D3" s="4">
        <f t="shared" si="0"/>
        <v>1</v>
      </c>
      <c r="E3" s="4">
        <f t="shared" si="0"/>
        <v>0</v>
      </c>
      <c r="F3" s="4">
        <f t="shared" si="0"/>
        <v>0</v>
      </c>
      <c r="G3" s="4">
        <f t="shared" si="0"/>
        <v>0</v>
      </c>
      <c r="H3" s="4">
        <f t="shared" si="0"/>
        <v>0</v>
      </c>
      <c r="I3" s="4">
        <f t="shared" si="0"/>
        <v>1</v>
      </c>
      <c r="J3" s="4">
        <f t="shared" si="0"/>
        <v>0</v>
      </c>
      <c r="K3" s="4">
        <f t="shared" si="0"/>
        <v>0</v>
      </c>
      <c r="L3" s="4">
        <f t="shared" si="0"/>
        <v>0</v>
      </c>
      <c r="M3" s="4">
        <f t="shared" si="0"/>
        <v>3</v>
      </c>
      <c r="N3" s="4">
        <f t="shared" si="0"/>
        <v>0</v>
      </c>
      <c r="O3" s="4">
        <f t="shared" si="0"/>
        <v>0</v>
      </c>
      <c r="P3" s="4">
        <f t="shared" si="0"/>
        <v>0</v>
      </c>
    </row>
    <row r="4" spans="1:16" ht="18" customHeight="1" x14ac:dyDescent="0.15">
      <c r="A4" s="5" t="s">
        <v>63</v>
      </c>
      <c r="B4" s="6">
        <f t="shared" ref="B4:B21" si="1">C4+D4+E4+F4+G4+H4+I4+J4+K4+L4+M4+N4+O4+P4</f>
        <v>0</v>
      </c>
      <c r="C4" s="6">
        <f>COUNTIFS(名单表!$B$6:$B$580,"医院前街幼儿园",名单表!$S$6:$S$580,"脱贫家庭学生")</f>
        <v>0</v>
      </c>
      <c r="D4" s="6">
        <f>COUNTIFS(名单表!$B$6:$B$580,"医院前街幼儿园",名单表!$S$6:$S$580,"脱贫不稳定家庭学生")</f>
        <v>0</v>
      </c>
      <c r="E4" s="6">
        <f>COUNTIFS(名单表!$B$6:$B$580,"医院前街幼儿园",名单表!$S$6:$S$580,"风险未消除家庭学生")</f>
        <v>0</v>
      </c>
      <c r="F4" s="6">
        <f>COUNTIFS(名单表!$B$6:$B$580,"医院前街幼儿园",名单表!$S$6:$S$580,"边缘易致贫家庭学生")</f>
        <v>0</v>
      </c>
      <c r="G4" s="6">
        <f>COUNTIFS(名单表!$B$6:$B$580,"医院前街幼儿园",名单表!$S$6:$S$580,"突发严重困难家庭学生")</f>
        <v>0</v>
      </c>
      <c r="H4" s="6">
        <f>COUNTIFS(名单表!$B$6:$B$580,"医院前街幼儿园",名单表!$S$6:$S$580,"城乡低保学生")</f>
        <v>0</v>
      </c>
      <c r="I4" s="6">
        <f>COUNTIFS(名单表!$B$6:$B$580,"医院前街幼儿园",名单表!$S$6:$S$580,"城乡低保家庭学生")</f>
        <v>0</v>
      </c>
      <c r="J4" s="6">
        <f>COUNTIFS(名单表!$B$6:$B$580,"医院前街幼儿园",名单表!$S$6:$S$580,"特困救助学生")</f>
        <v>0</v>
      </c>
      <c r="K4" s="6">
        <f>COUNTIFS(名单表!$B$6:$B$580,"医院前街幼儿园",名单表!$S$6:$S$580,"孤儿学生")</f>
        <v>0</v>
      </c>
      <c r="L4" s="6">
        <f>COUNTIFS(名单表!$B$6:$B$580,"医院前街幼儿园",名单表!$S$6:$S$580,"残疾学生")</f>
        <v>0</v>
      </c>
      <c r="M4" s="6">
        <f>COUNTIFS(名单表!$B$6:$B$580,"医院前街幼儿园",名单表!$S$6:$S$580,"残疾人子女学生")</f>
        <v>0</v>
      </c>
      <c r="N4" s="6">
        <f>COUNTIFS(名单表!$B$6:$B$580,"医院前街幼儿园",名单表!$S$6:$S$580,"事实无人抚养学生")</f>
        <v>0</v>
      </c>
      <c r="O4" s="6">
        <f>COUNTIFS(名单表!$B$6:$B$580,"医院前街幼儿园",名单表!$S$6:$S$580,"经济困难单亲家庭学生")</f>
        <v>0</v>
      </c>
      <c r="P4" s="6">
        <f>COUNTIFS(名单表!$B$6:$B$580,"医院前街幼儿园",名单表!$S$6:$S$580,"其他家庭经济困难")</f>
        <v>0</v>
      </c>
    </row>
    <row r="5" spans="1:16" ht="18" customHeight="1" x14ac:dyDescent="0.15">
      <c r="A5" s="5" t="s">
        <v>64</v>
      </c>
      <c r="B5" s="6">
        <f t="shared" si="1"/>
        <v>3</v>
      </c>
      <c r="C5" s="6">
        <f>COUNTIFS(名单表!$B$6:$B$580,"新征幼儿园",名单表!$S$6:$S$580,"脱贫家庭学生")</f>
        <v>1</v>
      </c>
      <c r="D5" s="6">
        <f>COUNTIFS(名单表!$B$6:$B$580,"新征幼儿园",名单表!$S$6:$S$580,"脱贫不稳定家庭学生")</f>
        <v>0</v>
      </c>
      <c r="E5" s="6">
        <f>COUNTIFS(名单表!$B$6:$B$580,"新征幼儿园",名单表!$S$6:$S$580,"风险未消除家庭学生")</f>
        <v>0</v>
      </c>
      <c r="F5" s="6">
        <f>COUNTIFS(名单表!$B$6:$B$580,"新征幼儿园",名单表!$S$6:$S$580,"边缘易致贫家庭学生")</f>
        <v>0</v>
      </c>
      <c r="G5" s="6">
        <f>COUNTIFS(名单表!$B$6:$B$580,"新征幼儿园",名单表!$S$6:$S$580,"突发严重困难家庭学生")</f>
        <v>0</v>
      </c>
      <c r="H5" s="6">
        <f>COUNTIFS(名单表!$B$6:$B$580,"新征幼儿园",名单表!$S$6:$S$580,"城乡低保学生")</f>
        <v>0</v>
      </c>
      <c r="I5" s="6">
        <f>COUNTIFS(名单表!$B$6:$B$580,"新征幼儿园",名单表!$S$6:$S$580,"城乡低保家庭学生")</f>
        <v>1</v>
      </c>
      <c r="J5" s="6">
        <f>COUNTIFS(名单表!$B$6:$B$580,"新征幼儿园",名单表!$S$6:$S$580,"特困救助学生")</f>
        <v>0</v>
      </c>
      <c r="K5" s="6">
        <f>COUNTIFS(名单表!$B$6:$B$580,"新征幼儿园",名单表!$S$6:$S$580,"孤儿学生")</f>
        <v>0</v>
      </c>
      <c r="L5" s="6">
        <f>COUNTIFS(名单表!$B$6:$B$580,"新征幼儿园",名单表!$S$6:$S$580,"残疾学生")</f>
        <v>0</v>
      </c>
      <c r="M5" s="6">
        <f>COUNTIFS(名单表!$B$6:$B$580,"新征幼儿园",名单表!$S$6:$S$580,"残疾人子女学生")</f>
        <v>1</v>
      </c>
      <c r="N5" s="6">
        <f>COUNTIFS(名单表!$B$6:$B$580,"新征幼儿园",名单表!$S$6:$S$580,"事实无人抚养学生")</f>
        <v>0</v>
      </c>
      <c r="O5" s="6">
        <f>COUNTIFS(名单表!$B$6:$B$580,"新征幼儿园",名单表!$S$6:$S$580,"经济困难单亲家庭学生")</f>
        <v>0</v>
      </c>
      <c r="P5" s="6">
        <f>COUNTIFS(名单表!$B$6:$B$580,"新征幼儿园",名单表!$S$6:$S$580,"其他家庭经济困难")</f>
        <v>0</v>
      </c>
    </row>
    <row r="6" spans="1:16" ht="18" customHeight="1" x14ac:dyDescent="0.15">
      <c r="A6" s="5" t="s">
        <v>65</v>
      </c>
      <c r="B6" s="6">
        <f t="shared" si="1"/>
        <v>0</v>
      </c>
      <c r="C6" s="6">
        <f>COUNTIFS(名单表!$B$6:$B$580,"民享街幼儿园",名单表!$S$6:$S$580,"脱贫家庭学生")</f>
        <v>0</v>
      </c>
      <c r="D6" s="6">
        <f>COUNTIFS(名单表!$B$6:$B$580,"民享街幼儿园",名单表!$S$6:$S$580,"脱贫不稳定家庭学生")</f>
        <v>0</v>
      </c>
      <c r="E6" s="6">
        <f>COUNTIFS(名单表!$B$6:$B$580,"民享街幼儿园",名单表!$S$6:$S$580,"风险未消除家庭学生")</f>
        <v>0</v>
      </c>
      <c r="F6" s="6">
        <f>COUNTIFS(名单表!$B$6:$B$580,"民享街幼儿园",名单表!$S$6:$S$580,"边缘易致贫家庭学生")</f>
        <v>0</v>
      </c>
      <c r="G6" s="6">
        <f>COUNTIFS(名单表!$B$6:$B$580,"民享街幼儿园",名单表!$S$6:$S$580,"突发严重困难家庭学生")</f>
        <v>0</v>
      </c>
      <c r="H6" s="6">
        <f>COUNTIFS(名单表!$B$6:$B$580,"民享街幼儿园",名单表!$S$6:$S$580,"城乡低保学生")</f>
        <v>0</v>
      </c>
      <c r="I6" s="6">
        <f>COUNTIFS(名单表!$B$6:$B$580,"民享街幼儿园",名单表!$S$6:$S$580,"城乡低保家庭学生")</f>
        <v>0</v>
      </c>
      <c r="J6" s="6">
        <f>COUNTIFS(名单表!$B$6:$B$580,"民享街幼儿园",名单表!$S$6:$S$580,"特困救助学生")</f>
        <v>0</v>
      </c>
      <c r="K6" s="6">
        <f>COUNTIFS(名单表!$B$6:$B$580,"民享街幼儿园",名单表!$S$6:$S$580,"孤儿学生")</f>
        <v>0</v>
      </c>
      <c r="L6" s="6">
        <f>COUNTIFS(名单表!$B$6:$B$580,"民享街幼儿园",名单表!$S$6:$S$580,"残疾学生")</f>
        <v>0</v>
      </c>
      <c r="M6" s="6">
        <f>COUNTIFS(名单表!$B$6:$B$580,"民享街幼儿园",名单表!$S$6:$S$580,"残疾人子女学生")</f>
        <v>0</v>
      </c>
      <c r="N6" s="6">
        <f>COUNTIFS(名单表!$B$6:$B$580,"民享街幼儿园",名单表!$S$6:$S$580,"事实无人抚养学生")</f>
        <v>0</v>
      </c>
      <c r="O6" s="6">
        <f>COUNTIFS(名单表!$B$6:$B$580,"民享街幼儿园",名单表!$S$6:$S$580,"经济困难单亲家庭学生")</f>
        <v>0</v>
      </c>
      <c r="P6" s="6">
        <f>COUNTIFS(名单表!$B$6:$B$580,"民享街幼儿园",名单表!$S$6:$S$580,"其他家庭经济困难")</f>
        <v>0</v>
      </c>
    </row>
    <row r="7" spans="1:16" ht="18" customHeight="1" x14ac:dyDescent="0.15">
      <c r="A7" s="27" t="s">
        <v>103</v>
      </c>
      <c r="B7" s="6">
        <f t="shared" si="1"/>
        <v>0</v>
      </c>
      <c r="C7" s="6">
        <f>COUNTIFS(名单表!$B$6:$B$580,"区实验幼儿园",名单表!$S$6:$S$580,"脱贫家庭学生")</f>
        <v>0</v>
      </c>
      <c r="D7" s="6">
        <f>COUNTIFS(名单表!$B$6:$B$580,"区实验幼儿园",名单表!$S$6:$S$580,"脱贫不稳定家庭学生")</f>
        <v>0</v>
      </c>
      <c r="E7" s="6">
        <f>COUNTIFS(名单表!$B$6:$B$580,"实验幼儿园",名单表!$S$6:$S$580,"风险未消除家庭学生")</f>
        <v>0</v>
      </c>
      <c r="F7" s="6">
        <f>COUNTIFS(名单表!$B$6:$B$580,"实验幼儿园",名单表!$S$6:$S$580,"边缘易致贫家庭学生")</f>
        <v>0</v>
      </c>
      <c r="G7" s="6">
        <f>COUNTIFS(名单表!$B$6:$B$580,"实验幼儿园",名单表!$S$6:$S$580,"突发严重困难家庭学生")</f>
        <v>0</v>
      </c>
      <c r="H7" s="6">
        <f>COUNTIFS(名单表!$B$6:$B$580,"实验幼儿园",名单表!$S$6:$S$580,"城乡低保学生")</f>
        <v>0</v>
      </c>
      <c r="I7" s="6">
        <f>COUNTIFS(名单表!$B$6:$B$580,"实验幼儿园",名单表!$S$6:$S$580,"城乡低保家庭学生")</f>
        <v>0</v>
      </c>
      <c r="J7" s="6">
        <f>COUNTIFS(名单表!$B$6:$B$580,"实验幼儿园",名单表!$S$6:$S$580,"特困救助学生")</f>
        <v>0</v>
      </c>
      <c r="K7" s="6">
        <f>COUNTIFS(名单表!$B$6:$B$580,"实验幼儿园",名单表!$S$6:$S$580,"孤儿学生")</f>
        <v>0</v>
      </c>
      <c r="L7" s="6">
        <f>COUNTIFS(名单表!$B$6:$B$580,"实验幼儿园",名单表!$S$6:$S$580,"残疾学生")</f>
        <v>0</v>
      </c>
      <c r="M7" s="6">
        <f>COUNTIFS(名单表!$B$6:$B$580,"实验幼儿园",名单表!$S$6:$S$580,"残疾人子女学生")</f>
        <v>0</v>
      </c>
      <c r="N7" s="6">
        <f>COUNTIFS(名单表!$B$6:$B$580,"实验幼儿园",名单表!$S$6:$S$580,"事实无人抚养学生")</f>
        <v>0</v>
      </c>
      <c r="O7" s="6">
        <f>COUNTIFS(名单表!$B$6:$B$580,"实验幼儿园",名单表!$S$6:$S$580,"经济困难单亲家庭学生")</f>
        <v>0</v>
      </c>
      <c r="P7" s="6">
        <f>COUNTIFS(名单表!$B$6:$B$580,"实验幼儿园",名单表!$S$6:$S$580,"其他家庭经济困难")</f>
        <v>0</v>
      </c>
    </row>
    <row r="8" spans="1:16" ht="18" customHeight="1" x14ac:dyDescent="0.15">
      <c r="A8" s="5" t="s">
        <v>66</v>
      </c>
      <c r="B8" s="6">
        <f t="shared" si="1"/>
        <v>0</v>
      </c>
      <c r="C8" s="6">
        <f>COUNTIFS(名单表!$B$6:$B$580,"红苹果分园",名单表!$S$6:$S$580,"脱贫家庭学生")</f>
        <v>0</v>
      </c>
      <c r="D8" s="6">
        <f>COUNTIFS(名单表!$B$6:$B$580,"红苹果分园",名单表!$S$6:$S$580,"脱贫不稳定家庭学生")</f>
        <v>0</v>
      </c>
      <c r="E8" s="6">
        <f>COUNTIFS(名单表!$B$6:$B$580,"红苹果分园",名单表!$S$6:$S$580,"风险未消除家庭学生")</f>
        <v>0</v>
      </c>
      <c r="F8" s="6">
        <f>COUNTIFS(名单表!$B$6:$B$580,"红苹果分园",名单表!$S$6:$S$580,"边缘易致贫家庭学生")</f>
        <v>0</v>
      </c>
      <c r="G8" s="6">
        <f>COUNTIFS(名单表!$B$6:$B$580,"红苹果分园",名单表!$S$6:$S$580,"突发严重困难家庭学生")</f>
        <v>0</v>
      </c>
      <c r="H8" s="6">
        <f>COUNTIFS(名单表!$B$6:$B$580,"红苹果分园",名单表!$S$6:$S$580,"城乡低保学生")</f>
        <v>0</v>
      </c>
      <c r="I8" s="6">
        <f>COUNTIFS(名单表!$B$6:$B$580,"红苹果分园",名单表!$S$6:$S$580,"城乡低保家庭学生")</f>
        <v>0</v>
      </c>
      <c r="J8" s="6">
        <f>COUNTIFS(名单表!$B$6:$B$580,"红苹果分园",名单表!$S$6:$S$580,"特困救助学生")</f>
        <v>0</v>
      </c>
      <c r="K8" s="6">
        <f>COUNTIFS(名单表!$B$6:$B$580,"红苹果分园",名单表!$S$6:$S$580,"孤儿学生")</f>
        <v>0</v>
      </c>
      <c r="L8" s="6">
        <f>COUNTIFS(名单表!$B$6:$B$580,"红苹果分园",名单表!$S$6:$S$580,"残疾学生")</f>
        <v>0</v>
      </c>
      <c r="M8" s="6">
        <f>COUNTIFS(名单表!$B$6:$B$580,"红苹果分园",名单表!$S$6:$S$580,"残疾人子女学生")</f>
        <v>0</v>
      </c>
      <c r="N8" s="6">
        <f>COUNTIFS(名单表!$B$6:$B$580,"红苹果分园",名单表!$S$6:$S$580,"事实无人抚养学生")</f>
        <v>0</v>
      </c>
      <c r="O8" s="6">
        <f>COUNTIFS(名单表!$B$6:$B$580,"红苹果分园",名单表!$S$6:$S$580,"经济困难单亲家庭学生")</f>
        <v>0</v>
      </c>
      <c r="P8" s="6">
        <f>COUNTIFS(名单表!$B$6:$B$580,"红苹果分园",名单表!$S$6:$S$580,"其他家庭经济困难")</f>
        <v>0</v>
      </c>
    </row>
    <row r="9" spans="1:16" ht="18" customHeight="1" x14ac:dyDescent="0.15">
      <c r="A9" s="5" t="s">
        <v>43</v>
      </c>
      <c r="B9" s="6">
        <f t="shared" si="1"/>
        <v>1</v>
      </c>
      <c r="C9" s="6">
        <f>COUNTIFS(名单表!$B$6:$B$580,"95129部队幼儿园",名单表!$S$6:$S$580,"脱贫家庭学生")</f>
        <v>0</v>
      </c>
      <c r="D9" s="6">
        <f>COUNTIFS(名单表!$B$6:$B$580,"95129部队幼儿园",名单表!$S$6:$S$580,"脱贫不稳定家庭学生")</f>
        <v>0</v>
      </c>
      <c r="E9" s="6">
        <f>COUNTIFS(名单表!$B$6:$B$580,"95129部队幼儿园",名单表!$S$6:$S$580,"风险未消除家庭学生")</f>
        <v>0</v>
      </c>
      <c r="F9" s="6">
        <f>COUNTIFS(名单表!$B$6:$B$580,"95129部队幼儿园",名单表!$S$6:$S$580,"边缘易致贫家庭学生")</f>
        <v>0</v>
      </c>
      <c r="G9" s="6">
        <f>COUNTIFS(名单表!$B$6:$B$580,"95129部队幼儿园",名单表!$S$6:$S$580,"突发严重困难家庭学生")</f>
        <v>0</v>
      </c>
      <c r="H9" s="6">
        <f>COUNTIFS(名单表!$B$6:$B$580,"95129部队幼儿园",名单表!$S$6:$S$580,"城乡低保学生")</f>
        <v>0</v>
      </c>
      <c r="I9" s="6">
        <f>COUNTIFS(名单表!$B$6:$B$580,"95129部队幼儿园",名单表!$S$6:$S$580,"城乡低保家庭学生")</f>
        <v>0</v>
      </c>
      <c r="J9" s="6">
        <f>COUNTIFS(名单表!$B$6:$B$580,"95129部队幼儿园",名单表!$S$6:$S$580,"特困救助学生")</f>
        <v>0</v>
      </c>
      <c r="K9" s="6">
        <f>COUNTIFS(名单表!$B$6:$B$580,"95129部队幼儿园",名单表!$S$6:$S$580,"孤儿学生")</f>
        <v>0</v>
      </c>
      <c r="L9" s="6">
        <f>COUNTIFS(名单表!$B$6:$B$580,"95129部队幼儿园",名单表!$S$6:$S$580,"残疾学生")</f>
        <v>0</v>
      </c>
      <c r="M9" s="6">
        <f>COUNTIFS(名单表!$B$6:$B$580,"95129部队幼儿园",名单表!$S$6:$S$580,"残疾人子女学生")</f>
        <v>1</v>
      </c>
      <c r="N9" s="6">
        <f>COUNTIFS(名单表!$B$6:$B$580,"95129部队幼儿园",名单表!$S$6:$S$580,"事实无人抚养学生")</f>
        <v>0</v>
      </c>
      <c r="O9" s="6">
        <f>COUNTIFS(名单表!$B$6:$B$580,"95129部队幼儿园",名单表!$S$6:$S$580,"经济困难单亲家庭学生")</f>
        <v>0</v>
      </c>
      <c r="P9" s="6">
        <f>COUNTIFS(名单表!$B$6:$B$580,"95129部队幼儿园",名单表!$S$6:$S$580,"其他家庭经济困难")</f>
        <v>0</v>
      </c>
    </row>
    <row r="10" spans="1:16" ht="18" customHeight="1" x14ac:dyDescent="0.15">
      <c r="A10" s="5" t="s">
        <v>67</v>
      </c>
      <c r="B10" s="6">
        <f t="shared" si="1"/>
        <v>0</v>
      </c>
      <c r="C10" s="6">
        <f>COUNTIFS(名单表!$B$6:$B$580,"95985部队幼儿园",名单表!$S$6:$S$580,"脱贫家庭学生")</f>
        <v>0</v>
      </c>
      <c r="D10" s="6">
        <f>COUNTIFS(名单表!$B$6:$B$580,"95985部队幼儿园",名单表!$S$6:$S$580,"脱贫不稳定家庭学生")</f>
        <v>0</v>
      </c>
      <c r="E10" s="6">
        <f>COUNTIFS(名单表!$B$6:$B$580,"95985部队幼儿园",名单表!$S$6:$S$580,"风险未消除家庭学生")</f>
        <v>0</v>
      </c>
      <c r="F10" s="6">
        <f>COUNTIFS(名单表!$B$6:$B$580,"95985部队幼儿园",名单表!$S$6:$S$580,"边缘易致贫家庭学生")</f>
        <v>0</v>
      </c>
      <c r="G10" s="6">
        <f>COUNTIFS(名单表!$B$6:$B$580,"95985部队幼儿园",名单表!$S$6:$S$580,"突发严重困难家庭学生")</f>
        <v>0</v>
      </c>
      <c r="H10" s="6">
        <f>COUNTIFS(名单表!$B$6:$B$580,"95985部队幼儿园",名单表!$S$6:$S$580,"城乡低保学生")</f>
        <v>0</v>
      </c>
      <c r="I10" s="6">
        <f>COUNTIFS(名单表!$B$6:$B$580,"95985部队幼儿园",名单表!$S$6:$S$580,"城乡低保家庭学生")</f>
        <v>0</v>
      </c>
      <c r="J10" s="6">
        <f>COUNTIFS(名单表!$B$6:$B$580,"95985部队幼儿园",名单表!$S$6:$S$580,"特困救助学生")</f>
        <v>0</v>
      </c>
      <c r="K10" s="6">
        <f>COUNTIFS(名单表!$B$6:$B$580,"95985部队幼儿园",名单表!$S$6:$S$580,"孤儿学生")</f>
        <v>0</v>
      </c>
      <c r="L10" s="6">
        <f>COUNTIFS(名单表!$B$6:$B$580,"95985部队幼儿园",名单表!$S$6:$S$580,"残疾学生")</f>
        <v>0</v>
      </c>
      <c r="M10" s="6">
        <f>COUNTIFS(名单表!$B$6:$B$580,"95985部队幼儿园",名单表!$S$6:$S$580,"残疾人子女学生")</f>
        <v>0</v>
      </c>
      <c r="N10" s="6">
        <f>COUNTIFS(名单表!$B$6:$B$580,"95985部队幼儿园",名单表!$S$6:$S$580,"事实无人抚养学生")</f>
        <v>0</v>
      </c>
      <c r="O10" s="6">
        <f>COUNTIFS(名单表!$B$6:$B$580,"95985部队幼儿园",名单表!$S$6:$S$580,"经济困难单亲家庭学生")</f>
        <v>0</v>
      </c>
      <c r="P10" s="6">
        <f>COUNTIFS(名单表!$B$6:$B$580,"95985部队幼儿园",名单表!$S$6:$S$580,"其他家庭经济困难")</f>
        <v>0</v>
      </c>
    </row>
    <row r="11" spans="1:16" ht="18" customHeight="1" x14ac:dyDescent="0.15">
      <c r="A11" s="5" t="s">
        <v>68</v>
      </c>
      <c r="B11" s="6">
        <f t="shared" si="1"/>
        <v>0</v>
      </c>
      <c r="C11" s="6">
        <f>COUNTIFS(名单表!$B$6:$B$580,"铁路幼儿园",名单表!$S$6:$S$580,"脱贫家庭学生")</f>
        <v>0</v>
      </c>
      <c r="D11" s="6">
        <f>COUNTIFS(名单表!$B$6:$B$580,"铁路幼儿园",名单表!$S$6:$S$580,"脱贫不稳定家庭学生")</f>
        <v>0</v>
      </c>
      <c r="E11" s="6">
        <f>COUNTIFS(名单表!$B$6:$B$580,"铁路幼儿园",名单表!$S$6:$S$580,"风险未消除家庭学生")</f>
        <v>0</v>
      </c>
      <c r="F11" s="6">
        <f>COUNTIFS(名单表!$B$6:$B$580,"铁路幼儿园",名单表!$S$6:$S$580,"边缘易致贫家庭学生")</f>
        <v>0</v>
      </c>
      <c r="G11" s="6">
        <f>COUNTIFS(名单表!$B$6:$B$580,"铁路幼儿园",名单表!$S$6:$S$580,"突发严重困难家庭学生")</f>
        <v>0</v>
      </c>
      <c r="H11" s="6">
        <f>COUNTIFS(名单表!$B$6:$B$580,"铁路幼儿园",名单表!$S$6:$S$580,"城乡低保学生")</f>
        <v>0</v>
      </c>
      <c r="I11" s="6">
        <f>COUNTIFS(名单表!$B$6:$B$580,"铁路幼儿园",名单表!$S$6:$S$580,"城乡低保家庭学生")</f>
        <v>0</v>
      </c>
      <c r="J11" s="6">
        <f>COUNTIFS(名单表!$B$6:$B$580,"铁路幼儿园",名单表!$S$6:$S$580,"特困救助学生")</f>
        <v>0</v>
      </c>
      <c r="K11" s="6">
        <f>COUNTIFS(名单表!$B$6:$B$580,"铁路幼儿园",名单表!$S$6:$S$580,"孤儿学生")</f>
        <v>0</v>
      </c>
      <c r="L11" s="6">
        <f>COUNTIFS(名单表!$B$6:$B$580,"铁路幼儿园",名单表!$S$6:$S$580,"残疾学生")</f>
        <v>0</v>
      </c>
      <c r="M11" s="6">
        <f>COUNTIFS(名单表!$B$6:$B$580,"铁路幼儿园",名单表!$S$6:$S$580,"残疾人子女学生")</f>
        <v>0</v>
      </c>
      <c r="N11" s="6">
        <f>COUNTIFS(名单表!$B$6:$B$580,"铁路幼儿园",名单表!$S$6:$S$580,"事实无人抚养学生")</f>
        <v>0</v>
      </c>
      <c r="O11" s="6">
        <f>COUNTIFS(名单表!$B$6:$B$580,"铁路幼儿园",名单表!$S$6:$S$580,"经济困难单亲家庭学生")</f>
        <v>0</v>
      </c>
      <c r="P11" s="6">
        <f>COUNTIFS(名单表!$B$6:$B$580,"铁路幼儿园",名单表!$S$6:$S$580,"其他家庭经济困难")</f>
        <v>0</v>
      </c>
    </row>
    <row r="12" spans="1:16" ht="18" customHeight="1" x14ac:dyDescent="0.15">
      <c r="A12" s="5" t="s">
        <v>69</v>
      </c>
      <c r="B12" s="6">
        <f t="shared" si="1"/>
        <v>2</v>
      </c>
      <c r="C12" s="6">
        <f>COUNTIFS(名单表!$B$6:$B$580,"松楼康乐幼儿园",名单表!$S$6:$S$580,"脱贫家庭学生")</f>
        <v>0</v>
      </c>
      <c r="D12" s="6">
        <f>COUNTIFS(名单表!$B$6:$B$580,"松楼康乐幼儿园",名单表!$S$6:$S$580,"脱贫不稳定家庭学生")</f>
        <v>1</v>
      </c>
      <c r="E12" s="6">
        <f>COUNTIFS(名单表!$B$6:$B$580,"松楼康乐幼儿园",名单表!$S$6:$S$580,"风险未消除家庭学生")</f>
        <v>0</v>
      </c>
      <c r="F12" s="6">
        <f>COUNTIFS(名单表!$B$6:$B$580,"松楼康乐幼儿园",名单表!$S$6:$S$580,"边缘易致贫家庭学生")</f>
        <v>0</v>
      </c>
      <c r="G12" s="6">
        <f>COUNTIFS(名单表!$B$6:$B$580,"松楼康乐幼儿园",名单表!$S$6:$S$580,"突发严重困难家庭学生")</f>
        <v>0</v>
      </c>
      <c r="H12" s="6">
        <f>COUNTIFS(名单表!$B$6:$B$580,"松楼康乐幼儿园",名单表!$S$6:$S$580,"城乡低保学生")</f>
        <v>0</v>
      </c>
      <c r="I12" s="6">
        <f>COUNTIFS(名单表!$B$6:$B$580,"松楼康乐幼儿园",名单表!$S$6:$S$580,"城乡低保家庭学生")</f>
        <v>0</v>
      </c>
      <c r="J12" s="6">
        <f>COUNTIFS(名单表!$B$6:$B$580,"松楼康乐幼儿园",名单表!$S$6:$S$580,"特困救助学生")</f>
        <v>0</v>
      </c>
      <c r="K12" s="6">
        <f>COUNTIFS(名单表!$B$6:$B$580,"松楼康乐幼儿园",名单表!$S$6:$S$580,"孤儿学生")</f>
        <v>0</v>
      </c>
      <c r="L12" s="6">
        <f>COUNTIFS(名单表!$B$6:$B$580,"松楼康乐幼儿园",名单表!$S$6:$S$580,"残疾学生")</f>
        <v>0</v>
      </c>
      <c r="M12" s="6">
        <f>COUNTIFS(名单表!$B$6:$B$580,"松楼康乐幼儿园",名单表!$S$6:$S$580,"残疾人子女学生")</f>
        <v>1</v>
      </c>
      <c r="N12" s="6">
        <f>COUNTIFS(名单表!$B$6:$B$580,"松楼康乐幼儿园",名单表!$S$6:$S$580,"事实无人抚养学生")</f>
        <v>0</v>
      </c>
      <c r="O12" s="6">
        <f>COUNTIFS(名单表!$B$6:$B$580,"松楼康乐幼儿园",名单表!$S$6:$S$580,"经济困难单亲家庭学生")</f>
        <v>0</v>
      </c>
      <c r="P12" s="6">
        <f>COUNTIFS(名单表!$B$6:$B$580,"松楼康乐幼儿园",名单表!$S$6:$S$580,"其他家庭经济困难")</f>
        <v>0</v>
      </c>
    </row>
    <row r="13" spans="1:16" ht="18" customHeight="1" x14ac:dyDescent="0.15">
      <c r="A13" s="5" t="s">
        <v>70</v>
      </c>
      <c r="B13" s="6">
        <f t="shared" si="1"/>
        <v>0</v>
      </c>
      <c r="C13" s="6">
        <f>COUNTIFS(名单表!$B$6:$B$580,"童乐幼儿园",名单表!$S$6:$S$580,"脱贫家庭学生")</f>
        <v>0</v>
      </c>
      <c r="D13" s="6">
        <f>COUNTIFS(名单表!$B$6:$B$580,"童乐幼儿园",名单表!$S$6:$S$580,"脱贫不稳定家庭学生")</f>
        <v>0</v>
      </c>
      <c r="E13" s="6">
        <f>COUNTIFS(名单表!$B$6:$B$580,"童乐幼儿园",名单表!$S$6:$S$580,"风险未消除家庭学生")</f>
        <v>0</v>
      </c>
      <c r="F13" s="6">
        <f>COUNTIFS(名单表!$B$6:$B$580,"童乐幼儿园",名单表!$S$6:$S$580,"边缘易致贫家庭学生")</f>
        <v>0</v>
      </c>
      <c r="G13" s="6">
        <f>COUNTIFS(名单表!$B$6:$B$580,"童乐幼儿园",名单表!$S$6:$S$580,"突发严重困难家庭学生")</f>
        <v>0</v>
      </c>
      <c r="H13" s="6">
        <f>COUNTIFS(名单表!$B$6:$B$580,"童乐幼儿园",名单表!$S$6:$S$580,"城乡低保学生")</f>
        <v>0</v>
      </c>
      <c r="I13" s="6">
        <f>COUNTIFS(名单表!$B$6:$B$580,"童乐幼儿园",名单表!$S$6:$S$580,"城乡低保家庭学生")</f>
        <v>0</v>
      </c>
      <c r="J13" s="6">
        <f>COUNTIFS(名单表!$B$6:$B$580,"童乐幼儿园",名单表!$S$6:$S$580,"特困救助学生")</f>
        <v>0</v>
      </c>
      <c r="K13" s="6">
        <f>COUNTIFS(名单表!$B$6:$B$580,"童乐幼儿园",名单表!$S$6:$S$580,"孤儿学生")</f>
        <v>0</v>
      </c>
      <c r="L13" s="6">
        <f>COUNTIFS(名单表!$B$6:$B$580,"童乐幼儿园",名单表!$S$6:$S$580,"残疾学生")</f>
        <v>0</v>
      </c>
      <c r="M13" s="6">
        <f>COUNTIFS(名单表!$B$6:$B$580,"童乐幼儿园",名单表!$S$6:$S$580,"残疾人子女学生")</f>
        <v>0</v>
      </c>
      <c r="N13" s="6">
        <f>COUNTIFS(名单表!$B$6:$B$580,"童乐幼儿园",名单表!$S$6:$S$580,"事实无人抚养学生")</f>
        <v>0</v>
      </c>
      <c r="O13" s="6">
        <f>COUNTIFS(名单表!$B$6:$B$580,"童乐幼儿园",名单表!$S$6:$S$580,"经济困难单亲家庭学生")</f>
        <v>0</v>
      </c>
      <c r="P13" s="6">
        <f>COUNTIFS(名单表!$B$6:$B$580,"童乐幼儿园",名单表!$S$6:$S$580,"其他家庭经济困难")</f>
        <v>0</v>
      </c>
    </row>
    <row r="14" spans="1:16" ht="18" customHeight="1" x14ac:dyDescent="0.15">
      <c r="A14" s="5" t="s">
        <v>71</v>
      </c>
      <c r="B14" s="6">
        <f t="shared" si="1"/>
        <v>0</v>
      </c>
      <c r="C14" s="6">
        <f>COUNTIFS(名单表!$B$6:$B$580,"医院前街幼儿园",名单表!$S$6:$S$580,"脱贫家庭学生")</f>
        <v>0</v>
      </c>
      <c r="D14" s="6">
        <f>COUNTIFS(名单表!$B$6:$B$580,"医院前街幼儿园",名单表!$S$6:$S$580,"脱贫不稳定家庭学生")</f>
        <v>0</v>
      </c>
      <c r="E14" s="6">
        <f>COUNTIFS(名单表!$B$6:$B$580,"医院前街幼儿园",名单表!$S$6:$S$580,"风险未消除家庭学生")</f>
        <v>0</v>
      </c>
      <c r="F14" s="6">
        <f>COUNTIFS(名单表!$B$6:$B$580,"医院前街幼儿园",名单表!$S$6:$S$580,"边缘易致贫家庭学生")</f>
        <v>0</v>
      </c>
      <c r="G14" s="6">
        <f>COUNTIFS(名单表!$B$6:$B$580,"医院前街幼儿园",名单表!$S$6:$S$580,"突发严重困难家庭学生")</f>
        <v>0</v>
      </c>
      <c r="H14" s="6">
        <f>COUNTIFS(名单表!$B$6:$B$580,"医院前街幼儿园",名单表!$S$6:$S$580,"城乡低保学生")</f>
        <v>0</v>
      </c>
      <c r="I14" s="6">
        <f>COUNTIFS(名单表!$B$6:$B$580,"医院前街幼儿园",名单表!$S$6:$S$580,"城乡低保家庭学生")</f>
        <v>0</v>
      </c>
      <c r="J14" s="6">
        <f>COUNTIFS(名单表!$B$6:$B$580,"医院前街幼儿园",名单表!$S$6:$S$580,"特困救助学生")</f>
        <v>0</v>
      </c>
      <c r="K14" s="6">
        <f>COUNTIFS(名单表!$B$6:$B$580,"医院前街幼儿园",名单表!$S$6:$S$580,"孤儿学生")</f>
        <v>0</v>
      </c>
      <c r="L14" s="6">
        <f>COUNTIFS(名单表!$B$6:$B$580,"医院前街幼儿园",名单表!$S$6:$S$580,"残疾学生")</f>
        <v>0</v>
      </c>
      <c r="M14" s="6">
        <f>COUNTIFS(名单表!$B$6:$B$580,"医院前街幼儿园",名单表!$S$6:$S$580,"残疾人子女学生")</f>
        <v>0</v>
      </c>
      <c r="N14" s="6">
        <f>COUNTIFS(名单表!$B$6:$B$580,"医院前街幼儿园",名单表!$S$6:$S$580,"事实无人抚养学生")</f>
        <v>0</v>
      </c>
      <c r="O14" s="6">
        <f>COUNTIFS(名单表!$B$6:$B$580,"医院前街幼儿园",名单表!$S$6:$S$580,"经济困难单亲家庭学生")</f>
        <v>0</v>
      </c>
      <c r="P14" s="6">
        <f>COUNTIFS(名单表!$B$6:$B$580,"医院前街幼儿园",名单表!$S$6:$S$580,"其他家庭经济困难")</f>
        <v>0</v>
      </c>
    </row>
    <row r="15" spans="1:16" ht="18" customHeight="1" x14ac:dyDescent="0.15">
      <c r="A15" s="5" t="s">
        <v>72</v>
      </c>
      <c r="B15" s="6">
        <f t="shared" si="1"/>
        <v>0</v>
      </c>
      <c r="C15" s="6">
        <f>COUNTIFS(名单表!$B$6:$B$580,"医院前街幼儿园",名单表!$S$6:$S$580,"脱贫家庭学生")</f>
        <v>0</v>
      </c>
      <c r="D15" s="6">
        <f>COUNTIFS(名单表!$B$6:$B$580,"医院前街幼儿园",名单表!$S$6:$S$580,"脱贫不稳定家庭学生")</f>
        <v>0</v>
      </c>
      <c r="E15" s="6">
        <f>COUNTIFS(名单表!$B$6:$B$580,"医院前街幼儿园",名单表!$S$6:$S$580,"风险未消除家庭学生")</f>
        <v>0</v>
      </c>
      <c r="F15" s="6">
        <f>COUNTIFS(名单表!$B$6:$B$580,"医院前街幼儿园",名单表!$S$6:$S$580,"边缘易致贫家庭学生")</f>
        <v>0</v>
      </c>
      <c r="G15" s="6">
        <f>COUNTIFS(名单表!$B$6:$B$580,"医院前街幼儿园",名单表!$S$6:$S$580,"突发严重困难家庭学生")</f>
        <v>0</v>
      </c>
      <c r="H15" s="6">
        <f>COUNTIFS(名单表!$B$6:$B$580,"医院前街幼儿园",名单表!$S$6:$S$580,"城乡低保学生")</f>
        <v>0</v>
      </c>
      <c r="I15" s="6">
        <f>COUNTIFS(名单表!$B$6:$B$580,"医院前街幼儿园",名单表!$S$6:$S$580,"城乡低保家庭学生")</f>
        <v>0</v>
      </c>
      <c r="J15" s="6">
        <f>COUNTIFS(名单表!$B$6:$B$580,"医院前街幼儿园",名单表!$S$6:$S$580,"特困救助学生")</f>
        <v>0</v>
      </c>
      <c r="K15" s="6">
        <f>COUNTIFS(名单表!$B$6:$B$580,"医院前街幼儿园",名单表!$S$6:$S$580,"孤儿学生")</f>
        <v>0</v>
      </c>
      <c r="L15" s="6">
        <f>COUNTIFS(名单表!$B$6:$B$580,"医院前街幼儿园",名单表!$S$6:$S$580,"残疾学生")</f>
        <v>0</v>
      </c>
      <c r="M15" s="6">
        <f>COUNTIFS(名单表!$B$6:$B$580,"医院前街幼儿园",名单表!$S$6:$S$580,"残疾人子女学生")</f>
        <v>0</v>
      </c>
      <c r="N15" s="6">
        <f>COUNTIFS(名单表!$B$6:$B$580,"医院前街幼儿园",名单表!$S$6:$S$580,"事实无人抚养学生")</f>
        <v>0</v>
      </c>
      <c r="O15" s="6">
        <f>COUNTIFS(名单表!$B$6:$B$580,"医院前街幼儿园",名单表!$S$6:$S$580,"经济困难单亲家庭学生")</f>
        <v>0</v>
      </c>
      <c r="P15" s="6">
        <f>COUNTIFS(名单表!$B$6:$B$580,"医院前街幼儿园",名单表!$S$6:$S$580,"其他家庭经济困难")</f>
        <v>0</v>
      </c>
    </row>
    <row r="16" spans="1:16" ht="18" customHeight="1" x14ac:dyDescent="0.15">
      <c r="A16" s="5" t="s">
        <v>73</v>
      </c>
      <c r="B16" s="6">
        <f t="shared" si="1"/>
        <v>0</v>
      </c>
      <c r="C16" s="6">
        <f>COUNTIFS(名单表!$B$6:$B$580,"医院前街幼儿园",名单表!$S$6:$S$580,"脱贫家庭学生")</f>
        <v>0</v>
      </c>
      <c r="D16" s="6">
        <f>COUNTIFS(名单表!$B$6:$B$580,"医院前街幼儿园",名单表!$S$6:$S$580,"脱贫不稳定家庭学生")</f>
        <v>0</v>
      </c>
      <c r="E16" s="6">
        <f>COUNTIFS(名单表!$B$6:$B$580,"医院前街幼儿园",名单表!$S$6:$S$580,"风险未消除家庭学生")</f>
        <v>0</v>
      </c>
      <c r="F16" s="6">
        <f>COUNTIFS(名单表!$B$6:$B$580,"医院前街幼儿园",名单表!$S$6:$S$580,"边缘易致贫家庭学生")</f>
        <v>0</v>
      </c>
      <c r="G16" s="6">
        <f>COUNTIFS(名单表!$B$6:$B$580,"医院前街幼儿园",名单表!$S$6:$S$580,"突发严重困难家庭学生")</f>
        <v>0</v>
      </c>
      <c r="H16" s="6">
        <f>COUNTIFS(名单表!$B$6:$B$580,"医院前街幼儿园",名单表!$S$6:$S$580,"城乡低保学生")</f>
        <v>0</v>
      </c>
      <c r="I16" s="6">
        <f>COUNTIFS(名单表!$B$6:$B$580,"医院前街幼儿园",名单表!$S$6:$S$580,"城乡低保家庭学生")</f>
        <v>0</v>
      </c>
      <c r="J16" s="6">
        <f>COUNTIFS(名单表!$B$6:$B$580,"医院前街幼儿园",名单表!$S$6:$S$580,"特困救助学生")</f>
        <v>0</v>
      </c>
      <c r="K16" s="6">
        <f>COUNTIFS(名单表!$B$6:$B$580,"医院前街幼儿园",名单表!$S$6:$S$580,"孤儿学生")</f>
        <v>0</v>
      </c>
      <c r="L16" s="6">
        <f>COUNTIFS(名单表!$B$6:$B$580,"医院前街幼儿园",名单表!$S$6:$S$580,"残疾学生")</f>
        <v>0</v>
      </c>
      <c r="M16" s="6">
        <f>COUNTIFS(名单表!$B$6:$B$580,"医院前街幼儿园",名单表!$S$6:$S$580,"残疾人子女学生")</f>
        <v>0</v>
      </c>
      <c r="N16" s="6">
        <f>COUNTIFS(名单表!$B$6:$B$580,"医院前街幼儿园",名单表!$S$6:$S$580,"事实无人抚养学生")</f>
        <v>0</v>
      </c>
      <c r="O16" s="6">
        <f>COUNTIFS(名单表!$B$6:$B$580,"医院前街幼儿园",名单表!$S$6:$S$580,"经济困难单亲家庭学生")</f>
        <v>0</v>
      </c>
      <c r="P16" s="6">
        <f>COUNTIFS(名单表!$B$6:$B$580,"医院前街幼儿园",名单表!$S$6:$S$580,"其他家庭经济困难")</f>
        <v>0</v>
      </c>
    </row>
    <row r="17" spans="1:16" ht="18" customHeight="1" x14ac:dyDescent="0.15">
      <c r="A17" s="5" t="s">
        <v>74</v>
      </c>
      <c r="B17" s="6">
        <f t="shared" si="1"/>
        <v>0</v>
      </c>
      <c r="C17" s="6">
        <f>COUNTIFS(名单表!$B$6:$B$580,"医院前街幼儿园",名单表!$S$6:$S$580,"脱贫家庭学生")</f>
        <v>0</v>
      </c>
      <c r="D17" s="6">
        <f>COUNTIFS(名单表!$B$6:$B$580,"医院前街幼儿园",名单表!$S$6:$S$580,"脱贫不稳定家庭学生")</f>
        <v>0</v>
      </c>
      <c r="E17" s="6">
        <f>COUNTIFS(名单表!$B$6:$B$580,"医院前街幼儿园",名单表!$S$6:$S$580,"风险未消除家庭学生")</f>
        <v>0</v>
      </c>
      <c r="F17" s="6">
        <f>COUNTIFS(名单表!$B$6:$B$580,"医院前街幼儿园",名单表!$S$6:$S$580,"边缘易致贫家庭学生")</f>
        <v>0</v>
      </c>
      <c r="G17" s="6">
        <f>COUNTIFS(名单表!$B$6:$B$580,"医院前街幼儿园",名单表!$S$6:$S$580,"突发严重困难家庭学生")</f>
        <v>0</v>
      </c>
      <c r="H17" s="6">
        <f>COUNTIFS(名单表!$B$6:$B$580,"医院前街幼儿园",名单表!$S$6:$S$580,"城乡低保学生")</f>
        <v>0</v>
      </c>
      <c r="I17" s="6">
        <f>COUNTIFS(名单表!$B$6:$B$580,"医院前街幼儿园",名单表!$S$6:$S$580,"城乡低保家庭学生")</f>
        <v>0</v>
      </c>
      <c r="J17" s="6">
        <f>COUNTIFS(名单表!$B$6:$B$580,"医院前街幼儿园",名单表!$S$6:$S$580,"特困救助学生")</f>
        <v>0</v>
      </c>
      <c r="K17" s="6">
        <f>COUNTIFS(名单表!$B$6:$B$580,"医院前街幼儿园",名单表!$S$6:$S$580,"孤儿学生")</f>
        <v>0</v>
      </c>
      <c r="L17" s="6">
        <f>COUNTIFS(名单表!$B$6:$B$580,"医院前街幼儿园",名单表!$S$6:$S$580,"残疾学生")</f>
        <v>0</v>
      </c>
      <c r="M17" s="6">
        <f>COUNTIFS(名单表!$B$6:$B$580,"医院前街幼儿园",名单表!$S$6:$S$580,"残疾人子女学生")</f>
        <v>0</v>
      </c>
      <c r="N17" s="6">
        <f>COUNTIFS(名单表!$B$6:$B$580,"医院前街幼儿园",名单表!$S$6:$S$580,"事实无人抚养学生")</f>
        <v>0</v>
      </c>
      <c r="O17" s="6">
        <f>COUNTIFS(名单表!$B$6:$B$580,"医院前街幼儿园",名单表!$S$6:$S$580,"经济困难单亲家庭学生")</f>
        <v>0</v>
      </c>
      <c r="P17" s="6">
        <f>COUNTIFS(名单表!$B$6:$B$580,"医院前街幼儿园",名单表!$S$6:$S$580,"其他家庭经济困难")</f>
        <v>0</v>
      </c>
    </row>
    <row r="18" spans="1:16" ht="18" customHeight="1" x14ac:dyDescent="0.15">
      <c r="A18" s="5" t="s">
        <v>75</v>
      </c>
      <c r="B18" s="6">
        <f t="shared" si="1"/>
        <v>0</v>
      </c>
      <c r="C18" s="6">
        <f>COUNTIFS(名单表!$B$6:$B$580,"医院前街幼儿园",名单表!$S$6:$S$580,"脱贫家庭学生")</f>
        <v>0</v>
      </c>
      <c r="D18" s="6">
        <f>COUNTIFS(名单表!$B$6:$B$580,"医院前街幼儿园",名单表!$S$6:$S$580,"脱贫不稳定家庭学生")</f>
        <v>0</v>
      </c>
      <c r="E18" s="6">
        <f>COUNTIFS(名单表!$B$6:$B$580,"医院前街幼儿园",名单表!$S$6:$S$580,"风险未消除家庭学生")</f>
        <v>0</v>
      </c>
      <c r="F18" s="6">
        <f>COUNTIFS(名单表!$B$6:$B$580,"医院前街幼儿园",名单表!$S$6:$S$580,"边缘易致贫家庭学生")</f>
        <v>0</v>
      </c>
      <c r="G18" s="6">
        <f>COUNTIFS(名单表!$B$6:$B$580,"医院前街幼儿园",名单表!$S$6:$S$580,"突发严重困难家庭学生")</f>
        <v>0</v>
      </c>
      <c r="H18" s="6">
        <f>COUNTIFS(名单表!$B$6:$B$580,"医院前街幼儿园",名单表!$S$6:$S$580,"城乡低保学生")</f>
        <v>0</v>
      </c>
      <c r="I18" s="6">
        <f>COUNTIFS(名单表!$B$6:$B$580,"医院前街幼儿园",名单表!$S$6:$S$580,"城乡低保家庭学生")</f>
        <v>0</v>
      </c>
      <c r="J18" s="6">
        <f>COUNTIFS(名单表!$B$6:$B$580,"医院前街幼儿园",名单表!$S$6:$S$580,"特困救助学生")</f>
        <v>0</v>
      </c>
      <c r="K18" s="6">
        <f>COUNTIFS(名单表!$B$6:$B$580,"医院前街幼儿园",名单表!$S$6:$S$580,"孤儿学生")</f>
        <v>0</v>
      </c>
      <c r="L18" s="6">
        <f>COUNTIFS(名单表!$B$6:$B$580,"医院前街幼儿园",名单表!$S$6:$S$580,"残疾学生")</f>
        <v>0</v>
      </c>
      <c r="M18" s="6">
        <f>COUNTIFS(名单表!$B$6:$B$580,"医院前街幼儿园",名单表!$S$6:$S$580,"残疾人子女学生")</f>
        <v>0</v>
      </c>
      <c r="N18" s="6">
        <f>COUNTIFS(名单表!$B$6:$B$580,"医院前街幼儿园",名单表!$S$6:$S$580,"事实无人抚养学生")</f>
        <v>0</v>
      </c>
      <c r="O18" s="6">
        <f>COUNTIFS(名单表!$B$6:$B$580,"医院前街幼儿园",名单表!$S$6:$S$580,"经济困难单亲家庭学生")</f>
        <v>0</v>
      </c>
      <c r="P18" s="6">
        <f>COUNTIFS(名单表!$B$6:$B$580,"医院前街幼儿园",名单表!$S$6:$S$580,"其他家庭经济困难")</f>
        <v>0</v>
      </c>
    </row>
    <row r="19" spans="1:16" ht="18" customHeight="1" x14ac:dyDescent="0.15">
      <c r="A19" s="5" t="s">
        <v>76</v>
      </c>
      <c r="B19" s="6">
        <f t="shared" si="1"/>
        <v>0</v>
      </c>
      <c r="C19" s="6">
        <f>COUNTIFS(名单表!$B$6:$B$580,"医院前街幼儿园",名单表!$S$6:$S$580,"脱贫家庭学生")</f>
        <v>0</v>
      </c>
      <c r="D19" s="6">
        <f>COUNTIFS(名单表!$B$6:$B$580,"医院前街幼儿园",名单表!$S$6:$S$580,"脱贫不稳定家庭学生")</f>
        <v>0</v>
      </c>
      <c r="E19" s="6">
        <f>COUNTIFS(名单表!$B$6:$B$580,"医院前街幼儿园",名单表!$S$6:$S$580,"风险未消除家庭学生")</f>
        <v>0</v>
      </c>
      <c r="F19" s="6">
        <f>COUNTIFS(名单表!$B$6:$B$580,"医院前街幼儿园",名单表!$S$6:$S$580,"边缘易致贫家庭学生")</f>
        <v>0</v>
      </c>
      <c r="G19" s="6">
        <f>COUNTIFS(名单表!$B$6:$B$580,"医院前街幼儿园",名单表!$S$6:$S$580,"突发严重困难家庭学生")</f>
        <v>0</v>
      </c>
      <c r="H19" s="6">
        <f>COUNTIFS(名单表!$B$6:$B$580,"医院前街幼儿园",名单表!$S$6:$S$580,"城乡低保学生")</f>
        <v>0</v>
      </c>
      <c r="I19" s="6">
        <f>COUNTIFS(名单表!$B$6:$B$580,"医院前街幼儿园",名单表!$S$6:$S$580,"城乡低保家庭学生")</f>
        <v>0</v>
      </c>
      <c r="J19" s="6">
        <f>COUNTIFS(名单表!$B$6:$B$580,"医院前街幼儿园",名单表!$S$6:$S$580,"特困救助学生")</f>
        <v>0</v>
      </c>
      <c r="K19" s="6">
        <f>COUNTIFS(名单表!$B$6:$B$580,"医院前街幼儿园",名单表!$S$6:$S$580,"孤儿学生")</f>
        <v>0</v>
      </c>
      <c r="L19" s="6">
        <f>COUNTIFS(名单表!$B$6:$B$580,"医院前街幼儿园",名单表!$S$6:$S$580,"残疾学生")</f>
        <v>0</v>
      </c>
      <c r="M19" s="6">
        <f>COUNTIFS(名单表!$B$6:$B$580,"医院前街幼儿园",名单表!$S$6:$S$580,"残疾人子女学生")</f>
        <v>0</v>
      </c>
      <c r="N19" s="6">
        <f>COUNTIFS(名单表!$B$6:$B$580,"医院前街幼儿园",名单表!$S$6:$S$580,"事实无人抚养学生")</f>
        <v>0</v>
      </c>
      <c r="O19" s="6">
        <f>COUNTIFS(名单表!$B$6:$B$580,"医院前街幼儿园",名单表!$S$6:$S$580,"经济困难单亲家庭学生")</f>
        <v>0</v>
      </c>
      <c r="P19" s="6">
        <f>COUNTIFS(名单表!$B$6:$B$580,"医院前街幼儿园",名单表!$S$6:$S$580,"其他家庭经济困难")</f>
        <v>0</v>
      </c>
    </row>
    <row r="20" spans="1:16" ht="18" customHeight="1" x14ac:dyDescent="0.15">
      <c r="A20" s="5" t="s">
        <v>77</v>
      </c>
      <c r="B20" s="6">
        <f t="shared" si="1"/>
        <v>0</v>
      </c>
      <c r="C20" s="6">
        <f>COUNTIFS(名单表!$B$6:$B$580,"医院前街幼儿园",名单表!$S$6:$S$580,"脱贫家庭学生")</f>
        <v>0</v>
      </c>
      <c r="D20" s="6">
        <f>COUNTIFS(名单表!$B$6:$B$580,"医院前街幼儿园",名单表!$S$6:$S$580,"脱贫不稳定家庭学生")</f>
        <v>0</v>
      </c>
      <c r="E20" s="6">
        <f>COUNTIFS(名单表!$B$6:$B$580,"医院前街幼儿园",名单表!$S$6:$S$580,"风险未消除家庭学生")</f>
        <v>0</v>
      </c>
      <c r="F20" s="6">
        <f>COUNTIFS(名单表!$B$6:$B$580,"医院前街幼儿园",名单表!$S$6:$S$580,"边缘易致贫家庭学生")</f>
        <v>0</v>
      </c>
      <c r="G20" s="6">
        <f>COUNTIFS(名单表!$B$6:$B$580,"医院前街幼儿园",名单表!$S$6:$S$580,"突发严重困难家庭学生")</f>
        <v>0</v>
      </c>
      <c r="H20" s="6">
        <f>COUNTIFS(名单表!$B$6:$B$580,"医院前街幼儿园",名单表!$S$6:$S$580,"城乡低保学生")</f>
        <v>0</v>
      </c>
      <c r="I20" s="6">
        <f>COUNTIFS(名单表!$B$6:$B$580,"医院前街幼儿园",名单表!$S$6:$S$580,"城乡低保家庭学生")</f>
        <v>0</v>
      </c>
      <c r="J20" s="6">
        <f>COUNTIFS(名单表!$B$6:$B$580,"医院前街幼儿园",名单表!$S$6:$S$580,"特困救助学生")</f>
        <v>0</v>
      </c>
      <c r="K20" s="6">
        <f>COUNTIFS(名单表!$B$6:$B$580,"医院前街幼儿园",名单表!$S$6:$S$580,"孤儿学生")</f>
        <v>0</v>
      </c>
      <c r="L20" s="6">
        <f>COUNTIFS(名单表!$B$6:$B$580,"医院前街幼儿园",名单表!$S$6:$S$580,"残疾学生")</f>
        <v>0</v>
      </c>
      <c r="M20" s="6">
        <f>COUNTIFS(名单表!$B$6:$B$580,"医院前街幼儿园",名单表!$S$6:$S$580,"残疾人子女学生")</f>
        <v>0</v>
      </c>
      <c r="N20" s="6">
        <f>COUNTIFS(名单表!$B$6:$B$580,"医院前街幼儿园",名单表!$S$6:$S$580,"事实无人抚养学生")</f>
        <v>0</v>
      </c>
      <c r="O20" s="6">
        <f>COUNTIFS(名单表!$B$6:$B$580,"医院前街幼儿园",名单表!$S$6:$S$580,"经济困难单亲家庭学生")</f>
        <v>0</v>
      </c>
      <c r="P20" s="6">
        <f>COUNTIFS(名单表!$B$6:$B$580,"医院前街幼儿园",名单表!$S$6:$S$580,"其他家庭经济困难")</f>
        <v>0</v>
      </c>
    </row>
    <row r="21" spans="1:16" ht="18" customHeight="1" x14ac:dyDescent="0.15">
      <c r="A21" s="5" t="s">
        <v>78</v>
      </c>
      <c r="B21" s="6">
        <f t="shared" si="1"/>
        <v>0</v>
      </c>
      <c r="C21" s="6">
        <f>COUNTIFS(名单表!$B$6:$B$580,"医院前街幼儿园",名单表!$S$6:$S$580,"脱贫家庭学生")</f>
        <v>0</v>
      </c>
      <c r="D21" s="6">
        <f>COUNTIFS(名单表!$B$6:$B$580,"医院前街幼儿园",名单表!$S$6:$S$580,"脱贫不稳定家庭学生")</f>
        <v>0</v>
      </c>
      <c r="E21" s="6">
        <f>COUNTIFS(名单表!$B$6:$B$580,"医院前街幼儿园",名单表!$S$6:$S$580,"风险未消除家庭学生")</f>
        <v>0</v>
      </c>
      <c r="F21" s="6">
        <f>COUNTIFS(名单表!$B$6:$B$580,"医院前街幼儿园",名单表!$S$6:$S$580,"边缘易致贫家庭学生")</f>
        <v>0</v>
      </c>
      <c r="G21" s="6">
        <f>COUNTIFS(名单表!$B$6:$B$580,"医院前街幼儿园",名单表!$S$6:$S$580,"突发严重困难家庭学生")</f>
        <v>0</v>
      </c>
      <c r="H21" s="6">
        <f>COUNTIFS(名单表!$B$6:$B$580,"医院前街幼儿园",名单表!$S$6:$S$580,"城乡低保学生")</f>
        <v>0</v>
      </c>
      <c r="I21" s="6">
        <f>COUNTIFS(名单表!$B$6:$B$580,"医院前街幼儿园",名单表!$S$6:$S$580,"城乡低保家庭学生")</f>
        <v>0</v>
      </c>
      <c r="J21" s="6">
        <f>COUNTIFS(名单表!$B$6:$B$580,"医院前街幼儿园",名单表!$S$6:$S$580,"特困救助学生")</f>
        <v>0</v>
      </c>
      <c r="K21" s="6">
        <f>COUNTIFS(名单表!$B$6:$B$580,"医院前街幼儿园",名单表!$S$6:$S$580,"孤儿学生")</f>
        <v>0</v>
      </c>
      <c r="L21" s="6">
        <f>COUNTIFS(名单表!$B$6:$B$580,"医院前街幼儿园",名单表!$S$6:$S$580,"残疾学生")</f>
        <v>0</v>
      </c>
      <c r="M21" s="6">
        <f>COUNTIFS(名单表!$B$6:$B$580,"医院前街幼儿园",名单表!$S$6:$S$580,"残疾人子女学生")</f>
        <v>0</v>
      </c>
      <c r="N21" s="6">
        <f>COUNTIFS(名单表!$B$6:$B$580,"医院前街幼儿园",名单表!$S$6:$S$580,"事实无人抚养学生")</f>
        <v>0</v>
      </c>
      <c r="O21" s="6">
        <f>COUNTIFS(名单表!$B$6:$B$580,"医院前街幼儿园",名单表!$S$6:$S$580,"经济困难单亲家庭学生")</f>
        <v>0</v>
      </c>
      <c r="P21" s="6">
        <f>COUNTIFS(名单表!$B$6:$B$580,"医院前街幼儿园",名单表!$S$6:$S$580,"其他家庭经济困难")</f>
        <v>0</v>
      </c>
    </row>
  </sheetData>
  <mergeCells count="1">
    <mergeCell ref="A1:O1"/>
  </mergeCells>
  <phoneticPr fontId="4" type="noConversion"/>
  <pageMargins left="0.7" right="0.7" top="0.75" bottom="0.75" header="0.3" footer="0.3"/>
  <pageSetup paperSize="9" orientation="landscape" horizontalDpi="200" verticalDpi="300"/>
  <ignoredErrors>
    <ignoredError sqref="P5 C5:N5" 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C2:D20"/>
  <sheetViews>
    <sheetView workbookViewId="0">
      <selection activeCell="C3" sqref="C3:C20"/>
    </sheetView>
  </sheetViews>
  <sheetFormatPr defaultColWidth="9" defaultRowHeight="13.5" x14ac:dyDescent="0.15"/>
  <cols>
    <col min="3" max="3" width="15.5" customWidth="1"/>
    <col min="4" max="4" width="22" customWidth="1"/>
  </cols>
  <sheetData>
    <row r="2" spans="3:4" x14ac:dyDescent="0.15">
      <c r="C2" t="s">
        <v>8</v>
      </c>
      <c r="D2" t="s">
        <v>79</v>
      </c>
    </row>
    <row r="3" spans="3:4" x14ac:dyDescent="0.15">
      <c r="C3" t="s">
        <v>63</v>
      </c>
      <c r="D3" t="s">
        <v>49</v>
      </c>
    </row>
    <row r="4" spans="3:4" x14ac:dyDescent="0.15">
      <c r="C4" t="s">
        <v>64</v>
      </c>
      <c r="D4" t="s">
        <v>50</v>
      </c>
    </row>
    <row r="5" spans="3:4" x14ac:dyDescent="0.15">
      <c r="C5" t="s">
        <v>65</v>
      </c>
      <c r="D5" t="s">
        <v>51</v>
      </c>
    </row>
    <row r="6" spans="3:4" x14ac:dyDescent="0.15">
      <c r="C6" t="s">
        <v>80</v>
      </c>
      <c r="D6" t="s">
        <v>52</v>
      </c>
    </row>
    <row r="7" spans="3:4" x14ac:dyDescent="0.15">
      <c r="C7" t="s">
        <v>66</v>
      </c>
      <c r="D7" t="s">
        <v>53</v>
      </c>
    </row>
    <row r="8" spans="3:4" x14ac:dyDescent="0.15">
      <c r="C8" t="s">
        <v>43</v>
      </c>
      <c r="D8" t="s">
        <v>54</v>
      </c>
    </row>
    <row r="9" spans="3:4" x14ac:dyDescent="0.15">
      <c r="C9" t="s">
        <v>67</v>
      </c>
      <c r="D9" t="s">
        <v>55</v>
      </c>
    </row>
    <row r="10" spans="3:4" x14ac:dyDescent="0.15">
      <c r="C10" t="s">
        <v>68</v>
      </c>
      <c r="D10" t="s">
        <v>56</v>
      </c>
    </row>
    <row r="11" spans="3:4" x14ac:dyDescent="0.15">
      <c r="C11" t="s">
        <v>69</v>
      </c>
      <c r="D11" t="s">
        <v>57</v>
      </c>
    </row>
    <row r="12" spans="3:4" x14ac:dyDescent="0.15">
      <c r="C12" t="s">
        <v>70</v>
      </c>
      <c r="D12" t="s">
        <v>58</v>
      </c>
    </row>
    <row r="13" spans="3:4" x14ac:dyDescent="0.15">
      <c r="C13" t="s">
        <v>71</v>
      </c>
      <c r="D13" t="s">
        <v>46</v>
      </c>
    </row>
    <row r="14" spans="3:4" x14ac:dyDescent="0.15">
      <c r="C14" t="s">
        <v>72</v>
      </c>
      <c r="D14" t="s">
        <v>59</v>
      </c>
    </row>
    <row r="15" spans="3:4" x14ac:dyDescent="0.15">
      <c r="C15" t="s">
        <v>73</v>
      </c>
      <c r="D15" t="s">
        <v>60</v>
      </c>
    </row>
    <row r="16" spans="3:4" x14ac:dyDescent="0.15">
      <c r="C16" t="s">
        <v>74</v>
      </c>
      <c r="D16" t="s">
        <v>61</v>
      </c>
    </row>
    <row r="17" spans="3:3" x14ac:dyDescent="0.15">
      <c r="C17" t="s">
        <v>75</v>
      </c>
    </row>
    <row r="18" spans="3:3" x14ac:dyDescent="0.15">
      <c r="C18" t="s">
        <v>76</v>
      </c>
    </row>
    <row r="19" spans="3:3" x14ac:dyDescent="0.15">
      <c r="C19" t="s">
        <v>77</v>
      </c>
    </row>
    <row r="20" spans="3:3" x14ac:dyDescent="0.15">
      <c r="C20" t="s">
        <v>78</v>
      </c>
    </row>
  </sheetData>
  <phoneticPr fontId="4" type="noConversion"/>
  <pageMargins left="0.7" right="0.7" top="0.75" bottom="0.75" header="0.3" footer="0.3"/>
  <pageSetup paperSize="9" orientation="portrait" horizontalDpi="2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27BCB3-71EA-4F8C-9F4A-6FF33F113244}">
  <dimension ref="B1:E13"/>
  <sheetViews>
    <sheetView workbookViewId="0">
      <selection activeCell="G9" sqref="G9"/>
    </sheetView>
  </sheetViews>
  <sheetFormatPr defaultRowHeight="13.5" x14ac:dyDescent="0.15"/>
  <cols>
    <col min="1" max="1" width="2.875" customWidth="1"/>
    <col min="3" max="3" width="21.875" bestFit="1" customWidth="1"/>
    <col min="4" max="4" width="14" bestFit="1" customWidth="1"/>
    <col min="5" max="5" width="21.875" bestFit="1" customWidth="1"/>
  </cols>
  <sheetData>
    <row r="1" spans="2:5" ht="55.5" customHeight="1" x14ac:dyDescent="0.15">
      <c r="B1" s="44" t="s">
        <v>108</v>
      </c>
      <c r="C1" s="44"/>
      <c r="D1" s="44"/>
      <c r="E1" s="44"/>
    </row>
    <row r="2" spans="2:5" ht="26.25" customHeight="1" x14ac:dyDescent="0.15">
      <c r="B2" s="29" t="s">
        <v>107</v>
      </c>
      <c r="C2" s="29" t="s">
        <v>104</v>
      </c>
      <c r="D2" s="29" t="s">
        <v>105</v>
      </c>
      <c r="E2" s="29" t="s">
        <v>106</v>
      </c>
    </row>
    <row r="3" spans="2:5" ht="21.95" customHeight="1" x14ac:dyDescent="0.15">
      <c r="B3" s="28">
        <v>1</v>
      </c>
      <c r="C3" s="28" t="s">
        <v>43</v>
      </c>
      <c r="D3" s="28">
        <v>1</v>
      </c>
      <c r="E3" s="28"/>
    </row>
    <row r="4" spans="2:5" ht="21.95" customHeight="1" x14ac:dyDescent="0.15">
      <c r="B4" s="30">
        <v>2</v>
      </c>
      <c r="C4" s="30" t="s">
        <v>74</v>
      </c>
      <c r="D4" s="30">
        <v>6</v>
      </c>
      <c r="E4" s="30">
        <v>5</v>
      </c>
    </row>
    <row r="5" spans="2:5" ht="21.95" customHeight="1" x14ac:dyDescent="0.15">
      <c r="B5" s="28">
        <v>3</v>
      </c>
      <c r="C5" s="28" t="s">
        <v>78</v>
      </c>
      <c r="D5" s="28">
        <v>1</v>
      </c>
      <c r="E5" s="28"/>
    </row>
    <row r="6" spans="2:5" ht="21.95" customHeight="1" x14ac:dyDescent="0.15">
      <c r="B6" s="30">
        <v>4</v>
      </c>
      <c r="C6" s="30" t="s">
        <v>76</v>
      </c>
      <c r="D6" s="30">
        <v>1</v>
      </c>
      <c r="E6" s="30"/>
    </row>
    <row r="7" spans="2:5" ht="21.95" customHeight="1" x14ac:dyDescent="0.15">
      <c r="B7" s="28">
        <v>5</v>
      </c>
      <c r="C7" s="28" t="s">
        <v>73</v>
      </c>
      <c r="D7" s="28">
        <v>3</v>
      </c>
      <c r="E7" s="28">
        <v>1</v>
      </c>
    </row>
    <row r="8" spans="2:5" ht="21.95" customHeight="1" x14ac:dyDescent="0.15">
      <c r="B8" s="30">
        <v>6</v>
      </c>
      <c r="C8" s="30" t="s">
        <v>77</v>
      </c>
      <c r="D8" s="30">
        <v>2</v>
      </c>
      <c r="E8" s="30">
        <v>1</v>
      </c>
    </row>
    <row r="9" spans="2:5" ht="21.95" customHeight="1" x14ac:dyDescent="0.15">
      <c r="B9" s="28">
        <v>7</v>
      </c>
      <c r="C9" s="28" t="s">
        <v>69</v>
      </c>
      <c r="D9" s="28">
        <v>2</v>
      </c>
      <c r="E9" s="28">
        <v>1</v>
      </c>
    </row>
    <row r="10" spans="2:5" ht="21.95" customHeight="1" x14ac:dyDescent="0.15">
      <c r="B10" s="30">
        <v>8</v>
      </c>
      <c r="C10" s="30" t="s">
        <v>71</v>
      </c>
      <c r="D10" s="30">
        <v>1</v>
      </c>
      <c r="E10" s="30">
        <v>1</v>
      </c>
    </row>
    <row r="11" spans="2:5" ht="21.95" customHeight="1" x14ac:dyDescent="0.15">
      <c r="B11" s="28">
        <v>9</v>
      </c>
      <c r="C11" s="28" t="s">
        <v>64</v>
      </c>
      <c r="D11" s="28">
        <v>3</v>
      </c>
      <c r="E11" s="28">
        <v>1</v>
      </c>
    </row>
    <row r="12" spans="2:5" ht="21.95" customHeight="1" x14ac:dyDescent="0.15">
      <c r="B12" s="30">
        <v>10</v>
      </c>
      <c r="C12" s="30" t="s">
        <v>80</v>
      </c>
      <c r="D12" s="30">
        <v>2</v>
      </c>
      <c r="E12" s="30"/>
    </row>
    <row r="13" spans="2:5" ht="21.95" customHeight="1" x14ac:dyDescent="0.15">
      <c r="B13" s="45" t="s">
        <v>109</v>
      </c>
      <c r="C13" s="46"/>
      <c r="D13" s="31">
        <f>SUM(D3:D12)</f>
        <v>22</v>
      </c>
      <c r="E13" s="31">
        <f>SUM(E3:E12)</f>
        <v>10</v>
      </c>
    </row>
  </sheetData>
  <mergeCells count="2">
    <mergeCell ref="B1:E1"/>
    <mergeCell ref="B13:C13"/>
  </mergeCells>
  <phoneticPr fontId="4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>
    <arrUserId title="区域2_2_1" rangeCreator="" othersAccessPermission="edit"/>
    <arrUserId title="区域2_3_1" rangeCreator="" othersAccessPermission="edit"/>
    <arrUserId title="区域3_3" rangeCreator="" othersAccessPermission="edit"/>
    <arrUserId title="区域3_1_3" rangeCreator="" othersAccessPermission="edit"/>
    <arrUserId title="区域7_2_1" rangeCreator="" othersAccessPermission="edit"/>
    <arrUserId title="区域1_1_1_2" rangeCreator="" othersAccessPermission="edit"/>
    <arrUserId title="区域4_2" rangeCreator="" othersAccessPermission="edit"/>
    <arrUserId title="区域1_1_1_1_1" rangeCreator="" othersAccessPermission="edit"/>
    <arrUserId title="区域4_1_1" rangeCreator="" othersAccessPermission="edit"/>
    <arrUserId title="区域3_2_2" rangeCreator="" othersAccessPermission="edit"/>
    <arrUserId title="区域1_2" rangeCreator="" othersAccessPermission="edit"/>
    <arrUserId title="区域2_5_1" rangeCreator="" othersAccessPermission="edit"/>
    <arrUserId title="区域4_1_2_1" rangeCreator="" othersAccessPermission="edit"/>
    <arrUserId title="区域4_2_1_1" rangeCreator="" othersAccessPermission="edit"/>
    <arrUserId title="区域1_1_2" rangeCreator="" othersAccessPermission="edit"/>
    <arrUserId title="区域1_1_2_1" rangeCreator="" othersAccessPermission="edit"/>
    <arrUserId title="区域1_2_1" rangeCreator="" othersAccessPermission="edit"/>
    <arrUserId title="区域2_4" rangeCreator="" othersAccessPermission="edit"/>
    <arrUserId title="区域1_3" rangeCreator="" othersAccessPermission="edit"/>
    <arrUserId title="区域1_1_1_2_1" rangeCreator="" othersAccessPermission="edit"/>
    <arrUserId title="区域1_2_1_1" rangeCreator="" othersAccessPermission="edit"/>
    <arrUserId title="区域2_1_2" rangeCreator="" othersAccessPermission="edit"/>
    <arrUserId title="区域4_1_5" rangeCreator="" othersAccessPermission="edit"/>
    <arrUserId title="区域3_1" rangeCreator="" othersAccessPermission="edit"/>
    <arrUserId title="区域4_1_6" rangeCreator="" othersAccessPermission="edit"/>
    <arrUserId title="区域4_1_3" rangeCreator="" othersAccessPermission="edit"/>
    <arrUserId title="区域4_2_2" rangeCreator="" othersAccessPermission="edit"/>
    <arrUserId title="区域4_2_4" rangeCreator="" othersAccessPermission="edit"/>
    <arrUserId title="区域3_4" rangeCreator="" othersAccessPermission="edit"/>
    <arrUserId title="区域4_2_1" rangeCreator="" othersAccessPermission="edit"/>
    <arrUserId title="区域3_2" rangeCreator="" othersAccessPermission="edit"/>
    <arrUserId title="区域3_3_1" rangeCreator="" othersAccessPermission="edit"/>
    <arrUserId title="区域4_2_3" rangeCreator="" othersAccessPermission="edit"/>
    <arrUserId title="区域3_3_1_1" rangeCreator="" othersAccessPermission="edit"/>
  </rangeList>
  <rangeList sheetStid="2" master=""/>
  <rangeList sheetStid="3" master="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</vt:i4>
      </vt:variant>
      <vt:variant>
        <vt:lpstr>命名范围</vt:lpstr>
      </vt:variant>
      <vt:variant>
        <vt:i4>2</vt:i4>
      </vt:variant>
    </vt:vector>
  </HeadingPairs>
  <TitlesOfParts>
    <vt:vector size="6" baseType="lpstr">
      <vt:lpstr>名单表</vt:lpstr>
      <vt:lpstr>统计表</vt:lpstr>
      <vt:lpstr>Sheet3</vt:lpstr>
      <vt:lpstr>Sheet1</vt:lpstr>
      <vt:lpstr>困难类型</vt:lpstr>
      <vt:lpstr>学校名称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2023-11-28T09:03:17Z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5E073228B5174C938C64369C060DA23A_12</vt:lpwstr>
  </property>
  <property fmtid="{D5CDD505-2E9C-101B-9397-08002B2CF9AE}" pid="3" name="KSOProductBuildVer">
    <vt:lpwstr>2052-12.1.0.15712</vt:lpwstr>
  </property>
</Properties>
</file>