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各种上报材料\政府办\2023年秋季\"/>
    </mc:Choice>
  </mc:AlternateContent>
  <xr:revisionPtr revIDLastSave="0" documentId="13_ncr:1_{FBB88F84-D288-464D-BB59-09A2697963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单表" sheetId="1" r:id="rId1"/>
    <sheet name="统计表" sheetId="2" r:id="rId2"/>
    <sheet name="Sheet3" sheetId="3" r:id="rId3"/>
  </sheets>
  <definedNames>
    <definedName name="_xlnm._FilterDatabase" localSheetId="0" hidden="1">名单表!$A$5:$AF$81</definedName>
    <definedName name="困难类型">Sheet3!$D$3:$D$16</definedName>
    <definedName name="学校名称">Sheet3!$C$3:$C$21</definedName>
  </definedNames>
  <calcPr calcId="191029"/>
</workbook>
</file>

<file path=xl/calcChain.xml><?xml version="1.0" encoding="utf-8"?>
<calcChain xmlns="http://schemas.openxmlformats.org/spreadsheetml/2006/main">
  <c r="P22" i="2" l="1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M3" i="2" l="1"/>
  <c r="E3" i="2"/>
  <c r="B12" i="2"/>
  <c r="B18" i="2"/>
  <c r="B17" i="2"/>
  <c r="L3" i="2"/>
  <c r="K3" i="2"/>
  <c r="I3" i="2"/>
  <c r="O3" i="2"/>
  <c r="G3" i="2"/>
  <c r="B7" i="2"/>
  <c r="B10" i="2"/>
  <c r="B13" i="2"/>
  <c r="B16" i="2"/>
  <c r="B21" i="2"/>
  <c r="B22" i="2"/>
  <c r="B6" i="2"/>
  <c r="H3" i="2"/>
  <c r="N3" i="2"/>
  <c r="F3" i="2"/>
  <c r="D3" i="2"/>
  <c r="J3" i="2"/>
  <c r="P3" i="2"/>
  <c r="B9" i="2"/>
  <c r="B15" i="2"/>
  <c r="B4" i="2"/>
  <c r="B5" i="2"/>
  <c r="B8" i="2"/>
  <c r="B11" i="2"/>
  <c r="B14" i="2"/>
  <c r="B19" i="2"/>
  <c r="B20" i="2"/>
  <c r="C3" i="2"/>
  <c r="B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填写学生的姓名</t>
        </r>
      </text>
    </comment>
    <comment ref="G4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学生的性别</t>
        </r>
        <r>
          <rPr>
            <b/>
            <sz val="9"/>
            <rFont val="Tahoma"/>
            <family val="2"/>
          </rPr>
          <t xml:space="preserve"> 0-</t>
        </r>
        <r>
          <rPr>
            <b/>
            <sz val="9"/>
            <rFont val="宋体"/>
            <family val="3"/>
            <charset val="134"/>
          </rPr>
          <t>女</t>
        </r>
        <r>
          <rPr>
            <b/>
            <sz val="9"/>
            <rFont val="Tahoma"/>
            <family val="2"/>
          </rPr>
          <t xml:space="preserve">  1-</t>
        </r>
        <r>
          <rPr>
            <b/>
            <sz val="9"/>
            <rFont val="宋体"/>
            <family val="3"/>
            <charset val="134"/>
          </rPr>
          <t>男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<sst xmlns="http://schemas.openxmlformats.org/spreadsheetml/2006/main" count="414" uniqueCount="155">
  <si>
    <t>禹王台区2023年秋季学期义务教育阶段营养改善计划发放名单表</t>
  </si>
  <si>
    <t>序号</t>
  </si>
  <si>
    <t>学校信息</t>
  </si>
  <si>
    <t>学生入学信息</t>
  </si>
  <si>
    <t>监护人信息</t>
  </si>
  <si>
    <t>资助金发放信息</t>
  </si>
  <si>
    <t>认定信息</t>
  </si>
  <si>
    <t>备注</t>
  </si>
  <si>
    <t>学校名称</t>
  </si>
  <si>
    <t>学校属性</t>
  </si>
  <si>
    <t>姓名</t>
  </si>
  <si>
    <t>全国系统学籍号</t>
  </si>
  <si>
    <t>身份证件号</t>
  </si>
  <si>
    <t>性别</t>
  </si>
  <si>
    <t>出生日期</t>
  </si>
  <si>
    <t>年级</t>
  </si>
  <si>
    <t>班级</t>
  </si>
  <si>
    <t>监护人姓名</t>
  </si>
  <si>
    <t>监护人身份证号</t>
  </si>
  <si>
    <t>监护人联系电话</t>
  </si>
  <si>
    <t>户籍地址</t>
  </si>
  <si>
    <t>发放一卡通户名</t>
  </si>
  <si>
    <t>持卡人身份证号</t>
  </si>
  <si>
    <t>发放一卡通卡号</t>
  </si>
  <si>
    <t>受助金额</t>
  </si>
  <si>
    <t>困难类别</t>
  </si>
  <si>
    <t>标准全称，必须和全国系统一致</t>
  </si>
  <si>
    <t>公办、民办，</t>
  </si>
  <si>
    <t>必须为汉字（可以包含·），长度大于等于1，且不超过16个汉字</t>
  </si>
  <si>
    <t>填写学生的学籍号，长度不超过50个字符</t>
  </si>
  <si>
    <t>填写学生身份证件号，</t>
  </si>
  <si>
    <t>只能填“男”或“女”。</t>
  </si>
  <si>
    <t>填写学生的出生日期，格式如20020102。</t>
  </si>
  <si>
    <r>
      <rPr>
        <sz val="8"/>
        <color indexed="8"/>
        <rFont val="宋体"/>
        <family val="3"/>
        <charset val="134"/>
      </rPr>
      <t>填写学生所在年级,如:一年级,二年级，三年级等</t>
    </r>
    <r>
      <rPr>
        <sz val="8"/>
        <color indexed="10"/>
        <rFont val="宋体"/>
        <family val="3"/>
        <charset val="134"/>
      </rPr>
      <t>.</t>
    </r>
  </si>
  <si>
    <t>填写学生所在年级,如:一班 ,二班等</t>
  </si>
  <si>
    <t>填写监护人身份证件号，</t>
  </si>
  <si>
    <t>省、市、县（区）、乡（办事处）、村（社区）、街道门牌号</t>
  </si>
  <si>
    <t>持卡人姓名</t>
  </si>
  <si>
    <t>单位：元</t>
  </si>
  <si>
    <t>如：脱贫家庭学生等</t>
  </si>
  <si>
    <t>扶轮小学</t>
  </si>
  <si>
    <t>公办</t>
  </si>
  <si>
    <t>何首康</t>
  </si>
  <si>
    <t>脱贫家庭学生</t>
  </si>
  <si>
    <t>张致远</t>
  </si>
  <si>
    <t>田梓君</t>
  </si>
  <si>
    <t>2022年秋季禹王台区受助学生数统计</t>
  </si>
  <si>
    <t>合计</t>
  </si>
  <si>
    <t>脱贫不稳定家庭学生</t>
  </si>
  <si>
    <t>风险未消除家庭学生</t>
  </si>
  <si>
    <t>边缘易致贫家庭学生</t>
  </si>
  <si>
    <t>突发严重困难家庭学生</t>
  </si>
  <si>
    <t>城乡低保学生</t>
  </si>
  <si>
    <t>城乡低保家庭学生</t>
  </si>
  <si>
    <t>特困救助学生</t>
  </si>
  <si>
    <t>孤儿学生</t>
  </si>
  <si>
    <t>残疾学生</t>
  </si>
  <si>
    <t>残疾人子女学生</t>
  </si>
  <si>
    <t>事实无人抚养学生</t>
  </si>
  <si>
    <t>经济困难单亲家庭学生</t>
  </si>
  <si>
    <t>其他家庭经济困难</t>
  </si>
  <si>
    <t>合  计</t>
  </si>
  <si>
    <t>夏理逊小学</t>
  </si>
  <si>
    <t>中山路第一小学</t>
  </si>
  <si>
    <t>开高附小</t>
  </si>
  <si>
    <t>五一路一小</t>
  </si>
  <si>
    <t>禹王台小学</t>
  </si>
  <si>
    <t>伞塔小学</t>
  </si>
  <si>
    <t>华夏小学</t>
  </si>
  <si>
    <t>杨庄小学</t>
  </si>
  <si>
    <t>西柳林小学</t>
  </si>
  <si>
    <t>松楼小学</t>
  </si>
  <si>
    <t>群力小学</t>
  </si>
  <si>
    <t>高楼小学</t>
  </si>
  <si>
    <t>汪屯小学</t>
  </si>
  <si>
    <t>苏村小学</t>
  </si>
  <si>
    <t>马头小学</t>
  </si>
  <si>
    <t>张庄小学</t>
  </si>
  <si>
    <t>李庄小学</t>
  </si>
  <si>
    <t>实验中学</t>
  </si>
  <si>
    <t>困难类型</t>
  </si>
  <si>
    <t xml:space="preserve">公办 </t>
  </si>
  <si>
    <t>王楚曦</t>
  </si>
  <si>
    <t>王若溪</t>
  </si>
  <si>
    <t>王旭阳</t>
  </si>
  <si>
    <t>王思奇</t>
  </si>
  <si>
    <t>孙嘉苒</t>
  </si>
  <si>
    <t>孙欣冉</t>
  </si>
  <si>
    <t>谢影</t>
  </si>
  <si>
    <t>谢旭</t>
  </si>
  <si>
    <t>刘子龙</t>
  </si>
  <si>
    <t>徐森林</t>
  </si>
  <si>
    <t>牛嘉祥</t>
  </si>
  <si>
    <t>毛函中</t>
  </si>
  <si>
    <t>郭以撒</t>
  </si>
  <si>
    <t>包宇航</t>
  </si>
  <si>
    <t>张佳美</t>
  </si>
  <si>
    <t>姚懿洋</t>
  </si>
  <si>
    <t>张淑嫚</t>
  </si>
  <si>
    <t>牛嘉源</t>
  </si>
  <si>
    <t>邢欣彤</t>
  </si>
  <si>
    <t>郭依琳</t>
  </si>
  <si>
    <t>张颢桢</t>
  </si>
  <si>
    <t>牛雅诗</t>
  </si>
  <si>
    <t>孙鑫宇</t>
  </si>
  <si>
    <t>韩家琦</t>
  </si>
  <si>
    <t>卢忆甜</t>
  </si>
  <si>
    <t>赵家燕</t>
  </si>
  <si>
    <t>赵文强</t>
  </si>
  <si>
    <t>米尔萨力·巴拉提</t>
  </si>
  <si>
    <t>迪力穆拉提·巴拉提</t>
  </si>
  <si>
    <t>马梦雪</t>
  </si>
  <si>
    <t>崔梦龙</t>
  </si>
  <si>
    <t>李志强</t>
  </si>
  <si>
    <t>刘采萱</t>
  </si>
  <si>
    <t>翟羽晴</t>
  </si>
  <si>
    <t>于文龙</t>
  </si>
  <si>
    <t>靳雨欣</t>
  </si>
  <si>
    <t>徐皓宇</t>
  </si>
  <si>
    <t>张辰浩</t>
  </si>
  <si>
    <t>王浩博</t>
  </si>
  <si>
    <t>毛晨菲</t>
  </si>
  <si>
    <t>张润汐</t>
  </si>
  <si>
    <t>张若琳</t>
  </si>
  <si>
    <t>刘静妍</t>
  </si>
  <si>
    <t>周美同</t>
  </si>
  <si>
    <t>郭睿辰</t>
  </si>
  <si>
    <t>张倚凡</t>
  </si>
  <si>
    <t>孙乐康</t>
  </si>
  <si>
    <t>刘浩乐</t>
  </si>
  <si>
    <t>张艺</t>
  </si>
  <si>
    <t>陈宇琪</t>
  </si>
  <si>
    <t>赵俊雅</t>
  </si>
  <si>
    <t>李巧巧</t>
  </si>
  <si>
    <t>李志成</t>
  </si>
  <si>
    <t>韩冬丽</t>
  </si>
  <si>
    <t>安子乐</t>
  </si>
  <si>
    <t>彭瑞航</t>
  </si>
  <si>
    <t>孔方正</t>
  </si>
  <si>
    <t>刘博延</t>
  </si>
  <si>
    <t>杨芮菲</t>
  </si>
  <si>
    <t>韩柯萱</t>
  </si>
  <si>
    <t>刘博昌</t>
  </si>
  <si>
    <t>尹韵皓</t>
  </si>
  <si>
    <t>张启祥</t>
  </si>
  <si>
    <t>刘润强</t>
  </si>
  <si>
    <t>丁梓悦</t>
  </si>
  <si>
    <t>赵威</t>
  </si>
  <si>
    <t>潘子怡</t>
  </si>
  <si>
    <t>丁文轩</t>
  </si>
  <si>
    <t>张雨荨</t>
  </si>
  <si>
    <t>翟明姚</t>
  </si>
  <si>
    <t>李佳芯</t>
  </si>
  <si>
    <t>张庆泽</t>
  </si>
  <si>
    <t>填报单位：（公章）禹王台区学生资助管理中心           法人签字：             填表人：孟宪洋                 填表时间：2023年10月25日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</si>
</sst>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color indexed="10"/>
      <name val="宋体"/>
      <family val="3"/>
      <charset val="134"/>
    </font>
    <font>
      <sz val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10"/>
      <name val="Arial"/>
      <family val="2"/>
    </font>
    <font>
      <b/>
      <sz val="9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3" fillId="4" borderId="2" xfId="0" applyFont="1" applyFill="1" applyBorder="1">
      <alignment vertical="center"/>
    </xf>
    <xf numFmtId="0" fontId="0" fillId="5" borderId="2" xfId="0" applyFill="1" applyBorder="1">
      <alignment vertical="center"/>
    </xf>
    <xf numFmtId="0" fontId="0" fillId="6" borderId="2" xfId="0" applyFill="1" applyBorder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49" fontId="9" fillId="8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10" applyFont="1" applyBorder="1" applyAlignment="1">
      <alignment horizontal="left" vertical="center" wrapText="1"/>
    </xf>
    <xf numFmtId="49" fontId="4" fillId="0" borderId="2" xfId="10" applyNumberFormat="1" applyFont="1" applyBorder="1" applyAlignment="1">
      <alignment horizontal="left" vertical="center" wrapText="1"/>
    </xf>
    <xf numFmtId="0" fontId="4" fillId="0" borderId="2" xfId="1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49" fontId="4" fillId="9" borderId="6" xfId="0" applyNumberFormat="1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49" fontId="4" fillId="9" borderId="10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" xfId="23" applyFont="1" applyBorder="1" applyAlignment="1">
      <alignment horizontal="left" vertical="center" wrapText="1"/>
    </xf>
    <xf numFmtId="49" fontId="4" fillId="0" borderId="2" xfId="23" applyNumberFormat="1" applyFont="1" applyBorder="1" applyAlignment="1">
      <alignment horizontal="left" vertical="center" wrapText="1"/>
    </xf>
    <xf numFmtId="0" fontId="4" fillId="0" borderId="0" xfId="23" applyFont="1" applyAlignment="1">
      <alignment horizontal="left" vertical="center" wrapText="1"/>
    </xf>
    <xf numFmtId="49" fontId="4" fillId="0" borderId="0" xfId="23" applyNumberFormat="1" applyFont="1" applyAlignment="1">
      <alignment horizontal="left" vertical="center" wrapText="1"/>
    </xf>
    <xf numFmtId="176" fontId="9" fillId="8" borderId="2" xfId="24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4" fillId="10" borderId="2" xfId="0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vertical="center" wrapText="1"/>
    </xf>
    <xf numFmtId="49" fontId="4" fillId="0" borderId="2" xfId="34" applyNumberFormat="1" applyFont="1" applyBorder="1" applyAlignment="1">
      <alignment horizontal="left" vertical="center" wrapText="1"/>
    </xf>
    <xf numFmtId="176" fontId="4" fillId="0" borderId="2" xfId="34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9" borderId="2" xfId="0" applyNumberFormat="1" applyFont="1" applyFill="1" applyBorder="1" applyAlignment="1">
      <alignment horizontal="left" vertical="center" wrapText="1"/>
    </xf>
    <xf numFmtId="49" fontId="4" fillId="9" borderId="9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left" vertical="center" wrapText="1"/>
    </xf>
    <xf numFmtId="176" fontId="4" fillId="0" borderId="11" xfId="0" applyNumberFormat="1" applyFont="1" applyBorder="1" applyAlignment="1">
      <alignment horizontal="left" vertical="center" wrapText="1"/>
    </xf>
    <xf numFmtId="0" fontId="4" fillId="0" borderId="2" xfId="35" applyFont="1" applyBorder="1" applyAlignment="1">
      <alignment horizontal="left" vertical="center" wrapText="1"/>
    </xf>
    <xf numFmtId="49" fontId="4" fillId="0" borderId="2" xfId="35" applyNumberFormat="1" applyFont="1" applyBorder="1" applyAlignment="1">
      <alignment horizontal="left" vertical="center" wrapText="1"/>
    </xf>
    <xf numFmtId="176" fontId="4" fillId="0" borderId="2" xfId="35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2" xfId="10" applyFont="1" applyBorder="1" applyAlignment="1">
      <alignment horizontal="center" vertical="center" wrapText="1"/>
    </xf>
    <xf numFmtId="49" fontId="21" fillId="0" borderId="2" xfId="10" applyNumberFormat="1" applyFont="1" applyBorder="1" applyAlignment="1">
      <alignment horizontal="left" vertical="center" wrapText="1"/>
    </xf>
    <xf numFmtId="0" fontId="21" fillId="0" borderId="2" xfId="10" applyFont="1" applyBorder="1" applyAlignment="1">
      <alignment horizontal="center" vertical="center"/>
    </xf>
    <xf numFmtId="49" fontId="21" fillId="0" borderId="2" xfId="10" applyNumberFormat="1" applyFont="1" applyBorder="1" applyAlignment="1">
      <alignment horizontal="center" vertical="center" wrapText="1"/>
    </xf>
    <xf numFmtId="0" fontId="22" fillId="0" borderId="2" xfId="10" applyFont="1" applyBorder="1" applyAlignment="1">
      <alignment horizontal="center" vertical="center" wrapText="1"/>
    </xf>
    <xf numFmtId="0" fontId="23" fillId="0" borderId="2" xfId="10" applyFont="1" applyBorder="1" applyAlignment="1">
      <alignment horizontal="center" vertical="center"/>
    </xf>
    <xf numFmtId="0" fontId="24" fillId="0" borderId="2" xfId="10" quotePrefix="1" applyFont="1" applyBorder="1" applyAlignment="1">
      <alignment horizontal="left" vertical="center" wrapText="1"/>
    </xf>
    <xf numFmtId="49" fontId="23" fillId="0" borderId="2" xfId="10" applyNumberFormat="1" applyFont="1" applyBorder="1" applyAlignment="1">
      <alignment horizontal="left" vertical="center" wrapText="1"/>
    </xf>
    <xf numFmtId="0" fontId="20" fillId="0" borderId="2" xfId="11" applyFont="1" applyBorder="1" applyAlignment="1">
      <alignment vertical="center" wrapText="1"/>
    </xf>
    <xf numFmtId="49" fontId="20" fillId="0" borderId="2" xfId="0" applyNumberFormat="1" applyFont="1" applyBorder="1" applyAlignment="1">
      <alignment horizontal="left" vertical="center" wrapText="1"/>
    </xf>
    <xf numFmtId="0" fontId="23" fillId="0" borderId="2" xfId="10" applyFont="1" applyBorder="1" applyAlignment="1">
      <alignment horizontal="center" vertical="center" wrapText="1"/>
    </xf>
    <xf numFmtId="0" fontId="20" fillId="0" borderId="2" xfId="10" applyFont="1" applyBorder="1" applyAlignment="1">
      <alignment horizontal="left" vertical="center" wrapText="1"/>
    </xf>
    <xf numFmtId="49" fontId="23" fillId="0" borderId="2" xfId="1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0" fillId="0" borderId="2" xfId="34" applyNumberFormat="1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left" vertical="center" wrapText="1"/>
    </xf>
    <xf numFmtId="176" fontId="26" fillId="0" borderId="2" xfId="34" applyNumberFormat="1" applyFont="1" applyBorder="1" applyAlignment="1">
      <alignment horizontal="left" vertical="center" wrapText="1"/>
    </xf>
    <xf numFmtId="49" fontId="26" fillId="0" borderId="2" xfId="11" applyNumberFormat="1" applyFont="1" applyBorder="1" applyAlignment="1">
      <alignment horizontal="left" vertical="center" wrapText="1"/>
    </xf>
    <xf numFmtId="0" fontId="26" fillId="0" borderId="2" xfId="11" applyFont="1" applyBorder="1" applyAlignment="1">
      <alignment horizontal="left" vertical="center" wrapText="1"/>
    </xf>
    <xf numFmtId="0" fontId="26" fillId="0" borderId="2" xfId="11" quotePrefix="1" applyFont="1" applyBorder="1" applyAlignment="1">
      <alignment horizontal="left" vertical="center" wrapText="1"/>
    </xf>
    <xf numFmtId="49" fontId="6" fillId="7" borderId="3" xfId="0" applyNumberFormat="1" applyFont="1" applyFill="1" applyBorder="1" applyAlignment="1">
      <alignment horizontal="center" vertical="center" wrapText="1"/>
    </xf>
    <xf numFmtId="49" fontId="6" fillId="7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</cellXfs>
  <cellStyles count="44">
    <cellStyle name="常规" xfId="0" builtinId="0"/>
    <cellStyle name="常规 10" xfId="10" xr:uid="{00000000-0005-0000-0000-000038000000}"/>
    <cellStyle name="常规 10 10" xfId="12" xr:uid="{00000000-0005-0000-0000-00003C000000}"/>
    <cellStyle name="常规 10 10 2" xfId="13" xr:uid="{00000000-0005-0000-0000-00003D000000}"/>
    <cellStyle name="常规 10 11" xfId="6" xr:uid="{00000000-0005-0000-0000-000017000000}"/>
    <cellStyle name="常规 10 2" xfId="11" xr:uid="{00000000-0005-0000-0000-00003A000000}"/>
    <cellStyle name="常规 10 2 2 10" xfId="2" xr:uid="{00000000-0005-0000-0000-000006000000}"/>
    <cellStyle name="常规 10 2 2 2" xfId="14" xr:uid="{00000000-0005-0000-0000-00003E000000}"/>
    <cellStyle name="常规 10 2 2 3 5 2 2" xfId="7" xr:uid="{00000000-0005-0000-0000-00001D000000}"/>
    <cellStyle name="常规 10 5 3" xfId="15" xr:uid="{00000000-0005-0000-0000-00003F000000}"/>
    <cellStyle name="常规 10 9 2" xfId="1" xr:uid="{00000000-0005-0000-0000-000001000000}"/>
    <cellStyle name="常规 11 2 2 4 2" xfId="16" xr:uid="{00000000-0005-0000-0000-000040000000}"/>
    <cellStyle name="常规 11 2 2 5" xfId="9" xr:uid="{00000000-0005-0000-0000-000036000000}"/>
    <cellStyle name="常规 11 4" xfId="18" xr:uid="{00000000-0005-0000-0000-000042000000}"/>
    <cellStyle name="常规 11 4 2" xfId="4" xr:uid="{00000000-0005-0000-0000-00000C000000}"/>
    <cellStyle name="常规 11 4 2 2 2" xfId="8" xr:uid="{00000000-0005-0000-0000-00002B000000}"/>
    <cellStyle name="常规 11 5 7" xfId="17" xr:uid="{00000000-0005-0000-0000-000041000000}"/>
    <cellStyle name="常规 11 5 7 2" xfId="3" xr:uid="{00000000-0005-0000-0000-00000B000000}"/>
    <cellStyle name="常规 12" xfId="5" xr:uid="{00000000-0005-0000-0000-000016000000}"/>
    <cellStyle name="常规 13 10" xfId="19" xr:uid="{00000000-0005-0000-0000-000043000000}"/>
    <cellStyle name="常规 13 4 2 2 2" xfId="20" xr:uid="{00000000-0005-0000-0000-000044000000}"/>
    <cellStyle name="常规 14 2 2 2 2" xfId="21" xr:uid="{00000000-0005-0000-0000-000045000000}"/>
    <cellStyle name="常规 17" xfId="22" xr:uid="{00000000-0005-0000-0000-000046000000}"/>
    <cellStyle name="常规 2" xfId="23" xr:uid="{00000000-0005-0000-0000-000047000000}"/>
    <cellStyle name="常规 2 2" xfId="24" xr:uid="{00000000-0005-0000-0000-000048000000}"/>
    <cellStyle name="常规 2 2 2" xfId="25" xr:uid="{00000000-0005-0000-0000-000049000000}"/>
    <cellStyle name="常规 2 2 3 2 2 2" xfId="26" xr:uid="{00000000-0005-0000-0000-00004A000000}"/>
    <cellStyle name="常规 2 2 3 2 2 2 2 2 2 2" xfId="27" xr:uid="{00000000-0005-0000-0000-00004B000000}"/>
    <cellStyle name="常规 2 2 6 2 2 2" xfId="28" xr:uid="{00000000-0005-0000-0000-00004C000000}"/>
    <cellStyle name="常规 2 5 2 2" xfId="29" xr:uid="{00000000-0005-0000-0000-00004D000000}"/>
    <cellStyle name="常规 2 5 2 2 2 2" xfId="30" xr:uid="{00000000-0005-0000-0000-00004E000000}"/>
    <cellStyle name="常规 2 5 2 3" xfId="31" xr:uid="{00000000-0005-0000-0000-00004F000000}"/>
    <cellStyle name="常规 20" xfId="32" xr:uid="{00000000-0005-0000-0000-000050000000}"/>
    <cellStyle name="常规 20 2" xfId="33" xr:uid="{00000000-0005-0000-0000-000051000000}"/>
    <cellStyle name="常规 21" xfId="34" xr:uid="{00000000-0005-0000-0000-000052000000}"/>
    <cellStyle name="常规 3" xfId="35" xr:uid="{00000000-0005-0000-0000-000053000000}"/>
    <cellStyle name="常规 4 2" xfId="36" xr:uid="{00000000-0005-0000-0000-000054000000}"/>
    <cellStyle name="常规 5" xfId="37" xr:uid="{00000000-0005-0000-0000-000055000000}"/>
    <cellStyle name="常规 9 2" xfId="38" xr:uid="{00000000-0005-0000-0000-000056000000}"/>
    <cellStyle name="常规 9 2 2 2 2" xfId="39" xr:uid="{00000000-0005-0000-0000-000057000000}"/>
    <cellStyle name="常规 9 2 2 2 2 2 2 2" xfId="40" xr:uid="{00000000-0005-0000-0000-000058000000}"/>
    <cellStyle name="常规 9 2 4" xfId="41" xr:uid="{00000000-0005-0000-0000-000059000000}"/>
    <cellStyle name="常规 9 4 2 10 2" xfId="42" xr:uid="{00000000-0005-0000-0000-00005A000000}"/>
    <cellStyle name="常规 9 4 2 2 2 2 2" xfId="43" xr:uid="{00000000-0005-0000-0000-00005B000000}"/>
  </cellStyles>
  <dxfs count="0"/>
  <tableStyles count="0" defaultTableStyle="TableStyleMedium9" defaultPivotStyle="PivotStyleLight16"/>
  <colors>
    <mruColors>
      <color rgb="FFCCCC00"/>
      <color rgb="FFFFCC99"/>
      <color rgb="FFCCFF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1"/>
  <sheetViews>
    <sheetView tabSelected="1" workbookViewId="0">
      <selection activeCell="P11" sqref="P11"/>
    </sheetView>
  </sheetViews>
  <sheetFormatPr defaultColWidth="9" defaultRowHeight="13.5" x14ac:dyDescent="0.15"/>
  <cols>
    <col min="1" max="1" width="5.25" style="10" customWidth="1"/>
    <col min="2" max="2" width="7.25" style="10" customWidth="1"/>
    <col min="3" max="3" width="4.625" style="10" customWidth="1"/>
    <col min="4" max="4" width="5.875" style="10" customWidth="1"/>
    <col min="5" max="5" width="7.625" style="10" customWidth="1"/>
    <col min="6" max="6" width="17.375" style="10" customWidth="1"/>
    <col min="7" max="7" width="4.25" style="10" customWidth="1"/>
    <col min="8" max="10" width="5.25" style="10" customWidth="1"/>
    <col min="11" max="12" width="9" style="10"/>
    <col min="13" max="13" width="6.75" style="10" customWidth="1"/>
    <col min="14" max="14" width="11.5" style="10" customWidth="1"/>
    <col min="15" max="15" width="9" style="10"/>
    <col min="16" max="16" width="9.375" style="10" bestFit="1" customWidth="1"/>
    <col min="17" max="17" width="10.25" style="10" bestFit="1" customWidth="1"/>
    <col min="18" max="18" width="8.625" style="10" customWidth="1"/>
    <col min="19" max="19" width="13.25" style="10" customWidth="1"/>
    <col min="20" max="20" width="9.5" style="10" customWidth="1"/>
    <col min="21" max="21" width="9.625" style="10" customWidth="1"/>
    <col min="22" max="22" width="13" style="10" customWidth="1"/>
    <col min="23" max="24" width="19.25" style="10" customWidth="1"/>
    <col min="25" max="25" width="21.375" style="10" customWidth="1"/>
    <col min="26" max="26" width="13" style="10" customWidth="1"/>
    <col min="27" max="27" width="17.25" style="10" customWidth="1"/>
    <col min="28" max="28" width="13" style="10" customWidth="1"/>
    <col min="29" max="30" width="9" style="10"/>
    <col min="31" max="31" width="15.125" style="10" customWidth="1"/>
    <col min="32" max="32" width="17.25" style="10" customWidth="1"/>
    <col min="33" max="16384" width="9" style="10"/>
  </cols>
  <sheetData>
    <row r="1" spans="1:20" ht="30" customHeight="1" x14ac:dyDescent="0.1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0" ht="24.75" customHeight="1" x14ac:dyDescent="0.15">
      <c r="A2" s="76" t="s">
        <v>154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25.5" customHeight="1" x14ac:dyDescent="0.15">
      <c r="A3" s="80" t="s">
        <v>1</v>
      </c>
      <c r="B3" s="77" t="s">
        <v>2</v>
      </c>
      <c r="C3" s="78"/>
      <c r="D3" s="77" t="s">
        <v>3</v>
      </c>
      <c r="E3" s="79"/>
      <c r="F3" s="79"/>
      <c r="G3" s="79"/>
      <c r="H3" s="79"/>
      <c r="I3" s="79"/>
      <c r="J3" s="78"/>
      <c r="K3" s="77" t="s">
        <v>4</v>
      </c>
      <c r="L3" s="79"/>
      <c r="M3" s="79"/>
      <c r="N3" s="79"/>
      <c r="O3" s="77" t="s">
        <v>5</v>
      </c>
      <c r="P3" s="79"/>
      <c r="Q3" s="79"/>
      <c r="R3" s="78"/>
      <c r="S3" s="37" t="s">
        <v>6</v>
      </c>
      <c r="T3" s="4" t="s">
        <v>7</v>
      </c>
    </row>
    <row r="4" spans="1:20" ht="36" x14ac:dyDescent="0.15">
      <c r="A4" s="81"/>
      <c r="B4" s="11" t="s">
        <v>8</v>
      </c>
      <c r="C4" s="11" t="s">
        <v>9</v>
      </c>
      <c r="D4" s="11" t="s">
        <v>10</v>
      </c>
      <c r="E4" s="12" t="s">
        <v>11</v>
      </c>
      <c r="F4" s="12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12" t="s">
        <v>18</v>
      </c>
      <c r="M4" s="12" t="s">
        <v>19</v>
      </c>
      <c r="N4" s="12" t="s">
        <v>20</v>
      </c>
      <c r="O4" s="33" t="s">
        <v>21</v>
      </c>
      <c r="P4" s="33" t="s">
        <v>22</v>
      </c>
      <c r="Q4" s="11" t="s">
        <v>23</v>
      </c>
      <c r="R4" s="11" t="s">
        <v>24</v>
      </c>
      <c r="S4" s="11" t="s">
        <v>25</v>
      </c>
      <c r="T4" s="83"/>
    </row>
    <row r="5" spans="1:20" ht="18.75" customHeight="1" x14ac:dyDescent="0.15">
      <c r="A5" s="82"/>
      <c r="B5" s="13" t="s">
        <v>26</v>
      </c>
      <c r="C5" s="13" t="s">
        <v>27</v>
      </c>
      <c r="D5" s="13" t="s">
        <v>28</v>
      </c>
      <c r="E5" s="13" t="s">
        <v>29</v>
      </c>
      <c r="F5" s="13" t="s">
        <v>30</v>
      </c>
      <c r="G5" s="13" t="s">
        <v>31</v>
      </c>
      <c r="H5" s="13" t="s">
        <v>32</v>
      </c>
      <c r="I5" s="13" t="s">
        <v>33</v>
      </c>
      <c r="J5" s="13" t="s">
        <v>34</v>
      </c>
      <c r="K5" s="13" t="s">
        <v>28</v>
      </c>
      <c r="L5" s="13" t="s">
        <v>35</v>
      </c>
      <c r="M5" s="34"/>
      <c r="N5" s="35" t="s">
        <v>36</v>
      </c>
      <c r="O5" s="34" t="s">
        <v>37</v>
      </c>
      <c r="P5" s="34"/>
      <c r="Q5" s="34"/>
      <c r="R5" s="34" t="s">
        <v>38</v>
      </c>
      <c r="S5" s="13" t="s">
        <v>39</v>
      </c>
      <c r="T5" s="84"/>
    </row>
    <row r="6" spans="1:20" s="9" customFormat="1" ht="36" customHeight="1" x14ac:dyDescent="0.15">
      <c r="A6" s="14">
        <v>1</v>
      </c>
      <c r="B6" s="50" t="s">
        <v>40</v>
      </c>
      <c r="C6" s="50" t="s">
        <v>41</v>
      </c>
      <c r="D6" s="51" t="s">
        <v>42</v>
      </c>
      <c r="E6" s="52"/>
      <c r="F6" s="52"/>
      <c r="G6" s="53"/>
      <c r="H6" s="54"/>
      <c r="I6" s="55"/>
      <c r="J6" s="53"/>
      <c r="K6" s="56"/>
      <c r="L6" s="57"/>
      <c r="M6" s="58"/>
      <c r="N6" s="59"/>
      <c r="O6" s="51"/>
      <c r="P6" s="52"/>
      <c r="Q6" s="60"/>
      <c r="R6" s="70">
        <v>400</v>
      </c>
      <c r="S6" s="50" t="s">
        <v>43</v>
      </c>
      <c r="T6" s="15"/>
    </row>
    <row r="7" spans="1:20" s="9" customFormat="1" ht="29.1" customHeight="1" x14ac:dyDescent="0.15">
      <c r="A7" s="14">
        <v>2</v>
      </c>
      <c r="B7" s="50" t="s">
        <v>40</v>
      </c>
      <c r="C7" s="50" t="s">
        <v>41</v>
      </c>
      <c r="D7" s="61" t="s">
        <v>44</v>
      </c>
      <c r="E7" s="62"/>
      <c r="F7" s="58"/>
      <c r="G7" s="51"/>
      <c r="H7" s="63"/>
      <c r="I7" s="53"/>
      <c r="J7" s="53"/>
      <c r="K7" s="61"/>
      <c r="L7" s="58"/>
      <c r="M7" s="58"/>
      <c r="N7" s="64"/>
      <c r="O7" s="61"/>
      <c r="P7" s="58"/>
      <c r="Q7" s="65"/>
      <c r="R7" s="70">
        <v>400</v>
      </c>
      <c r="S7" s="50" t="s">
        <v>43</v>
      </c>
      <c r="T7" s="15"/>
    </row>
    <row r="8" spans="1:20" s="9" customFormat="1" ht="27" customHeight="1" x14ac:dyDescent="0.15">
      <c r="A8" s="14">
        <v>3</v>
      </c>
      <c r="B8" s="50" t="s">
        <v>40</v>
      </c>
      <c r="C8" s="50" t="s">
        <v>41</v>
      </c>
      <c r="D8" s="51" t="s">
        <v>45</v>
      </c>
      <c r="E8" s="52"/>
      <c r="F8" s="52"/>
      <c r="G8" s="51"/>
      <c r="H8" s="54"/>
      <c r="I8" s="53"/>
      <c r="J8" s="53"/>
      <c r="K8" s="56"/>
      <c r="L8" s="57"/>
      <c r="M8" s="52"/>
      <c r="N8" s="59"/>
      <c r="O8" s="51"/>
      <c r="P8" s="52"/>
      <c r="Q8" s="60"/>
      <c r="R8" s="70">
        <v>400</v>
      </c>
      <c r="S8" s="50" t="s">
        <v>43</v>
      </c>
      <c r="T8" s="15"/>
    </row>
    <row r="9" spans="1:20" s="9" customFormat="1" ht="21.95" customHeight="1" x14ac:dyDescent="0.15">
      <c r="A9" s="14">
        <v>4</v>
      </c>
      <c r="B9" s="66" t="s">
        <v>73</v>
      </c>
      <c r="C9" s="66" t="s">
        <v>81</v>
      </c>
      <c r="D9" s="66" t="s">
        <v>82</v>
      </c>
      <c r="E9" s="67"/>
      <c r="F9" s="68"/>
      <c r="G9" s="66"/>
      <c r="H9" s="69"/>
      <c r="I9" s="69"/>
      <c r="J9" s="69"/>
      <c r="K9" s="66"/>
      <c r="L9" s="68"/>
      <c r="M9" s="68"/>
      <c r="N9" s="67"/>
      <c r="O9" s="67"/>
      <c r="P9" s="68"/>
      <c r="Q9" s="69"/>
      <c r="R9" s="70">
        <v>400</v>
      </c>
      <c r="S9" s="66" t="s">
        <v>43</v>
      </c>
      <c r="T9" s="15"/>
    </row>
    <row r="10" spans="1:20" s="9" customFormat="1" ht="21.95" customHeight="1" x14ac:dyDescent="0.15">
      <c r="A10" s="14">
        <v>5</v>
      </c>
      <c r="B10" s="66" t="s">
        <v>73</v>
      </c>
      <c r="C10" s="66" t="s">
        <v>81</v>
      </c>
      <c r="D10" s="66" t="s">
        <v>83</v>
      </c>
      <c r="E10" s="71"/>
      <c r="F10" s="71"/>
      <c r="G10" s="66"/>
      <c r="H10" s="69"/>
      <c r="I10" s="69"/>
      <c r="J10" s="69"/>
      <c r="K10" s="72"/>
      <c r="L10" s="73"/>
      <c r="M10" s="71"/>
      <c r="N10" s="66"/>
      <c r="O10" s="72"/>
      <c r="P10" s="73"/>
      <c r="Q10" s="69"/>
      <c r="R10" s="70">
        <v>400</v>
      </c>
      <c r="S10" s="66" t="s">
        <v>43</v>
      </c>
      <c r="T10" s="15"/>
    </row>
    <row r="11" spans="1:20" s="9" customFormat="1" ht="21.95" customHeight="1" x14ac:dyDescent="0.15">
      <c r="A11" s="14">
        <v>6</v>
      </c>
      <c r="B11" s="15" t="s">
        <v>71</v>
      </c>
      <c r="C11" s="15" t="s">
        <v>41</v>
      </c>
      <c r="D11" s="16" t="s">
        <v>84</v>
      </c>
      <c r="E11" s="17"/>
      <c r="F11" s="17"/>
      <c r="G11" s="16"/>
      <c r="H11" s="17"/>
      <c r="I11" s="17"/>
      <c r="J11" s="17"/>
      <c r="K11" s="16"/>
      <c r="L11" s="16"/>
      <c r="M11" s="17"/>
      <c r="N11" s="18"/>
      <c r="O11" s="16"/>
      <c r="P11" s="16"/>
      <c r="Q11" s="38"/>
      <c r="R11" s="39">
        <v>400</v>
      </c>
      <c r="S11" s="15" t="s">
        <v>43</v>
      </c>
      <c r="T11" s="15"/>
    </row>
    <row r="12" spans="1:20" s="9" customFormat="1" ht="21.95" customHeight="1" x14ac:dyDescent="0.15">
      <c r="A12" s="14">
        <v>7</v>
      </c>
      <c r="B12" s="15" t="s">
        <v>75</v>
      </c>
      <c r="C12" s="15" t="s">
        <v>41</v>
      </c>
      <c r="D12" s="15" t="s">
        <v>85</v>
      </c>
      <c r="E12" s="15"/>
      <c r="F12" s="19"/>
      <c r="G12" s="15"/>
      <c r="H12" s="19"/>
      <c r="I12" s="19"/>
      <c r="J12" s="19"/>
      <c r="K12" s="15"/>
      <c r="L12" s="19"/>
      <c r="M12" s="19"/>
      <c r="N12" s="15"/>
      <c r="O12" s="15"/>
      <c r="P12" s="15"/>
      <c r="Q12" s="19"/>
      <c r="R12" s="39">
        <v>400</v>
      </c>
      <c r="S12" s="15" t="s">
        <v>43</v>
      </c>
      <c r="T12" s="15"/>
    </row>
    <row r="13" spans="1:20" s="9" customFormat="1" ht="21.95" customHeight="1" x14ac:dyDescent="0.15">
      <c r="A13" s="14">
        <v>8</v>
      </c>
      <c r="B13" s="15" t="s">
        <v>75</v>
      </c>
      <c r="C13" s="15" t="s">
        <v>41</v>
      </c>
      <c r="D13" s="16" t="s">
        <v>86</v>
      </c>
      <c r="E13" s="17"/>
      <c r="F13" s="17"/>
      <c r="G13" s="16"/>
      <c r="H13" s="17"/>
      <c r="I13" s="17"/>
      <c r="J13" s="17"/>
      <c r="K13" s="16"/>
      <c r="L13" s="16"/>
      <c r="M13" s="17"/>
      <c r="N13" s="18"/>
      <c r="O13" s="16"/>
      <c r="P13" s="16"/>
      <c r="Q13" s="38"/>
      <c r="R13" s="39">
        <v>400</v>
      </c>
      <c r="S13" s="15" t="s">
        <v>43</v>
      </c>
      <c r="T13" s="15"/>
    </row>
    <row r="14" spans="1:20" s="9" customFormat="1" ht="21.95" customHeight="1" x14ac:dyDescent="0.15">
      <c r="A14" s="14">
        <v>9</v>
      </c>
      <c r="B14" s="15" t="s">
        <v>75</v>
      </c>
      <c r="C14" s="15" t="s">
        <v>41</v>
      </c>
      <c r="D14" s="15" t="s">
        <v>87</v>
      </c>
      <c r="E14" s="15"/>
      <c r="F14" s="19"/>
      <c r="G14" s="15"/>
      <c r="H14" s="19"/>
      <c r="I14" s="19"/>
      <c r="J14" s="19"/>
      <c r="K14" s="15"/>
      <c r="L14" s="19"/>
      <c r="M14" s="19"/>
      <c r="N14" s="15"/>
      <c r="O14" s="15"/>
      <c r="P14" s="15"/>
      <c r="Q14" s="19"/>
      <c r="R14" s="40">
        <v>400</v>
      </c>
      <c r="S14" s="15" t="s">
        <v>43</v>
      </c>
      <c r="T14" s="15"/>
    </row>
    <row r="15" spans="1:20" s="9" customFormat="1" ht="21.95" customHeight="1" x14ac:dyDescent="0.15">
      <c r="A15" s="14">
        <v>10</v>
      </c>
      <c r="B15" s="15" t="s">
        <v>62</v>
      </c>
      <c r="C15" s="15" t="s">
        <v>41</v>
      </c>
      <c r="D15" s="15" t="s">
        <v>88</v>
      </c>
      <c r="E15" s="15"/>
      <c r="F15" s="19"/>
      <c r="G15" s="15"/>
      <c r="H15" s="19"/>
      <c r="I15" s="19"/>
      <c r="J15" s="19"/>
      <c r="K15" s="15"/>
      <c r="L15" s="19"/>
      <c r="M15" s="19"/>
      <c r="N15" s="15"/>
      <c r="O15" s="19"/>
      <c r="P15" s="19"/>
      <c r="Q15" s="19"/>
      <c r="R15" s="40">
        <v>400</v>
      </c>
      <c r="S15" s="15" t="s">
        <v>43</v>
      </c>
      <c r="T15" s="15"/>
    </row>
    <row r="16" spans="1:20" s="9" customFormat="1" ht="21.95" customHeight="1" x14ac:dyDescent="0.15">
      <c r="A16" s="14">
        <v>11</v>
      </c>
      <c r="B16" s="15" t="s">
        <v>62</v>
      </c>
      <c r="C16" s="15" t="s">
        <v>41</v>
      </c>
      <c r="D16" s="15" t="s">
        <v>89</v>
      </c>
      <c r="E16" s="15"/>
      <c r="F16" s="15"/>
      <c r="G16" s="15"/>
      <c r="H16" s="19"/>
      <c r="I16" s="19"/>
      <c r="J16" s="19"/>
      <c r="K16" s="15"/>
      <c r="L16" s="15"/>
      <c r="M16" s="15"/>
      <c r="N16" s="15"/>
      <c r="O16" s="15"/>
      <c r="P16" s="15"/>
      <c r="Q16" s="15"/>
      <c r="R16" s="40">
        <v>400</v>
      </c>
      <c r="S16" s="15" t="s">
        <v>43</v>
      </c>
      <c r="T16" s="15"/>
    </row>
    <row r="17" spans="1:20" s="9" customFormat="1" ht="21.95" customHeight="1" x14ac:dyDescent="0.15">
      <c r="A17" s="14">
        <v>12</v>
      </c>
      <c r="B17" s="15" t="s">
        <v>62</v>
      </c>
      <c r="C17" s="15" t="s">
        <v>41</v>
      </c>
      <c r="D17" s="15" t="s">
        <v>90</v>
      </c>
      <c r="E17" s="15"/>
      <c r="F17" s="15"/>
      <c r="G17" s="15"/>
      <c r="H17" s="19"/>
      <c r="I17" s="19"/>
      <c r="J17" s="19"/>
      <c r="K17" s="15"/>
      <c r="L17" s="15"/>
      <c r="M17" s="15"/>
      <c r="N17" s="15"/>
      <c r="O17" s="15"/>
      <c r="P17" s="15"/>
      <c r="Q17" s="15"/>
      <c r="R17" s="40">
        <v>400</v>
      </c>
      <c r="S17" s="15" t="s">
        <v>43</v>
      </c>
      <c r="T17" s="15"/>
    </row>
    <row r="18" spans="1:20" s="9" customFormat="1" ht="21.95" customHeight="1" x14ac:dyDescent="0.15">
      <c r="A18" s="14">
        <v>13</v>
      </c>
      <c r="B18" s="15" t="s">
        <v>62</v>
      </c>
      <c r="C18" s="15" t="s">
        <v>41</v>
      </c>
      <c r="D18" s="15" t="s">
        <v>91</v>
      </c>
      <c r="E18" s="15"/>
      <c r="F18" s="15"/>
      <c r="G18" s="15"/>
      <c r="H18" s="19"/>
      <c r="I18" s="19"/>
      <c r="J18" s="19"/>
      <c r="K18" s="15"/>
      <c r="L18" s="15"/>
      <c r="M18" s="15"/>
      <c r="N18" s="15"/>
      <c r="O18" s="15"/>
      <c r="P18" s="15"/>
      <c r="Q18" s="15"/>
      <c r="R18" s="40">
        <v>400</v>
      </c>
      <c r="S18" s="15" t="s">
        <v>43</v>
      </c>
      <c r="T18" s="15"/>
    </row>
    <row r="19" spans="1:20" s="9" customFormat="1" ht="21.95" customHeight="1" x14ac:dyDescent="0.15">
      <c r="A19" s="14">
        <v>14</v>
      </c>
      <c r="B19" s="15" t="s">
        <v>62</v>
      </c>
      <c r="C19" s="15" t="s">
        <v>41</v>
      </c>
      <c r="D19" s="15" t="s">
        <v>92</v>
      </c>
      <c r="E19" s="15"/>
      <c r="F19" s="15"/>
      <c r="G19" s="15"/>
      <c r="H19" s="19"/>
      <c r="I19" s="19"/>
      <c r="J19" s="19"/>
      <c r="K19" s="15"/>
      <c r="L19" s="15"/>
      <c r="M19" s="15"/>
      <c r="N19" s="15"/>
      <c r="O19" s="15"/>
      <c r="P19" s="15"/>
      <c r="Q19" s="15"/>
      <c r="R19" s="40">
        <v>400</v>
      </c>
      <c r="S19" s="15" t="s">
        <v>43</v>
      </c>
      <c r="T19" s="15"/>
    </row>
    <row r="20" spans="1:20" s="9" customFormat="1" ht="21.95" customHeight="1" x14ac:dyDescent="0.15">
      <c r="A20" s="14">
        <v>15</v>
      </c>
      <c r="B20" s="15" t="s">
        <v>62</v>
      </c>
      <c r="C20" s="15" t="s">
        <v>41</v>
      </c>
      <c r="D20" s="15" t="s">
        <v>93</v>
      </c>
      <c r="E20" s="15"/>
      <c r="F20" s="15"/>
      <c r="G20" s="15"/>
      <c r="H20" s="19"/>
      <c r="I20" s="19"/>
      <c r="J20" s="19"/>
      <c r="K20" s="15"/>
      <c r="L20" s="15"/>
      <c r="M20" s="15"/>
      <c r="N20" s="15"/>
      <c r="O20" s="15"/>
      <c r="P20" s="15"/>
      <c r="Q20" s="15"/>
      <c r="R20" s="40">
        <v>400</v>
      </c>
      <c r="S20" s="15" t="s">
        <v>43</v>
      </c>
      <c r="T20" s="15"/>
    </row>
    <row r="21" spans="1:20" s="9" customFormat="1" ht="21.95" customHeight="1" x14ac:dyDescent="0.15">
      <c r="A21" s="14">
        <v>16</v>
      </c>
      <c r="B21" s="15" t="s">
        <v>62</v>
      </c>
      <c r="C21" s="15" t="s">
        <v>41</v>
      </c>
      <c r="D21" s="15" t="s">
        <v>94</v>
      </c>
      <c r="E21" s="15"/>
      <c r="F21" s="15"/>
      <c r="G21" s="15"/>
      <c r="H21" s="19"/>
      <c r="I21" s="19"/>
      <c r="J21" s="19"/>
      <c r="K21" s="15"/>
      <c r="L21" s="19"/>
      <c r="M21" s="19"/>
      <c r="N21" s="15"/>
      <c r="O21" s="15"/>
      <c r="Q21" s="41"/>
      <c r="R21" s="40">
        <v>400</v>
      </c>
      <c r="S21" s="15" t="s">
        <v>43</v>
      </c>
      <c r="T21" s="15"/>
    </row>
    <row r="22" spans="1:20" s="9" customFormat="1" ht="21.95" customHeight="1" x14ac:dyDescent="0.15">
      <c r="A22" s="14">
        <v>17</v>
      </c>
      <c r="B22" s="15" t="s">
        <v>62</v>
      </c>
      <c r="C22" s="15" t="s">
        <v>41</v>
      </c>
      <c r="D22" s="15" t="s">
        <v>95</v>
      </c>
      <c r="E22" s="15"/>
      <c r="F22" s="19"/>
      <c r="G22" s="15"/>
      <c r="H22" s="19"/>
      <c r="I22" s="19"/>
      <c r="J22" s="19"/>
      <c r="K22" s="15"/>
      <c r="L22" s="19"/>
      <c r="M22" s="19"/>
      <c r="N22" s="15"/>
      <c r="O22" s="15"/>
      <c r="P22" s="15"/>
      <c r="Q22" s="19"/>
      <c r="R22" s="40">
        <v>400</v>
      </c>
      <c r="S22" s="15" t="s">
        <v>43</v>
      </c>
      <c r="T22" s="15"/>
    </row>
    <row r="23" spans="1:20" s="9" customFormat="1" ht="21.95" customHeight="1" x14ac:dyDescent="0.15">
      <c r="A23" s="14">
        <v>18</v>
      </c>
      <c r="B23" s="15" t="s">
        <v>77</v>
      </c>
      <c r="C23" s="15" t="s">
        <v>41</v>
      </c>
      <c r="D23" s="15" t="s">
        <v>96</v>
      </c>
      <c r="E23" s="15"/>
      <c r="F23" s="19"/>
      <c r="G23" s="15"/>
      <c r="H23" s="19"/>
      <c r="I23" s="19"/>
      <c r="J23" s="19"/>
      <c r="K23" s="15"/>
      <c r="L23" s="19"/>
      <c r="M23" s="19"/>
      <c r="N23" s="15"/>
      <c r="O23" s="15"/>
      <c r="P23" s="15"/>
      <c r="Q23" s="19"/>
      <c r="R23" s="40">
        <v>400</v>
      </c>
      <c r="S23" s="15" t="s">
        <v>43</v>
      </c>
      <c r="T23" s="15"/>
    </row>
    <row r="24" spans="1:20" s="9" customFormat="1" ht="21.95" customHeight="1" x14ac:dyDescent="0.15">
      <c r="A24" s="14">
        <v>19</v>
      </c>
      <c r="B24" s="15" t="s">
        <v>63</v>
      </c>
      <c r="C24" s="15" t="s">
        <v>41</v>
      </c>
      <c r="D24" s="15" t="s">
        <v>97</v>
      </c>
      <c r="E24" s="15"/>
      <c r="F24" s="15"/>
      <c r="G24" s="15"/>
      <c r="H24" s="19"/>
      <c r="I24" s="19"/>
      <c r="J24" s="19"/>
      <c r="K24" s="15"/>
      <c r="L24" s="15"/>
      <c r="M24" s="15"/>
      <c r="N24" s="15"/>
      <c r="O24" s="15"/>
      <c r="P24" s="15"/>
      <c r="Q24" s="15"/>
      <c r="R24" s="40">
        <v>400</v>
      </c>
      <c r="S24" s="15" t="s">
        <v>43</v>
      </c>
      <c r="T24" s="15"/>
    </row>
    <row r="25" spans="1:20" s="9" customFormat="1" ht="21.95" customHeight="1" x14ac:dyDescent="0.15">
      <c r="A25" s="14">
        <v>20</v>
      </c>
      <c r="B25" s="15" t="s">
        <v>63</v>
      </c>
      <c r="C25" s="15" t="s">
        <v>41</v>
      </c>
      <c r="D25" s="15" t="s">
        <v>98</v>
      </c>
      <c r="E25" s="15"/>
      <c r="F25" s="15"/>
      <c r="G25" s="15"/>
      <c r="H25" s="19"/>
      <c r="I25" s="19"/>
      <c r="J25" s="19"/>
      <c r="K25" s="15"/>
      <c r="L25" s="15"/>
      <c r="M25" s="15"/>
      <c r="N25" s="15"/>
      <c r="O25" s="15"/>
      <c r="P25" s="15"/>
      <c r="Q25" s="15"/>
      <c r="R25" s="40">
        <v>400</v>
      </c>
      <c r="S25" s="15" t="s">
        <v>43</v>
      </c>
      <c r="T25" s="15"/>
    </row>
    <row r="26" spans="1:20" s="9" customFormat="1" ht="21.95" customHeight="1" x14ac:dyDescent="0.15">
      <c r="A26" s="14">
        <v>21</v>
      </c>
      <c r="B26" s="15" t="s">
        <v>63</v>
      </c>
      <c r="C26" s="15" t="s">
        <v>41</v>
      </c>
      <c r="D26" s="15" t="s">
        <v>99</v>
      </c>
      <c r="E26" s="15"/>
      <c r="F26" s="15"/>
      <c r="G26" s="15"/>
      <c r="H26" s="19"/>
      <c r="I26" s="19"/>
      <c r="J26" s="19"/>
      <c r="K26" s="15"/>
      <c r="L26" s="15"/>
      <c r="M26" s="15"/>
      <c r="N26" s="15"/>
      <c r="O26" s="15"/>
      <c r="P26" s="15"/>
      <c r="Q26" s="15"/>
      <c r="R26" s="40">
        <v>400</v>
      </c>
      <c r="S26" s="15" t="s">
        <v>43</v>
      </c>
      <c r="T26" s="15"/>
    </row>
    <row r="27" spans="1:20" s="9" customFormat="1" ht="21.95" customHeight="1" x14ac:dyDescent="0.15">
      <c r="A27" s="14">
        <v>22</v>
      </c>
      <c r="B27" s="15" t="s">
        <v>63</v>
      </c>
      <c r="C27" s="15" t="s">
        <v>41</v>
      </c>
      <c r="D27" s="15" t="s">
        <v>100</v>
      </c>
      <c r="E27" s="15"/>
      <c r="F27" s="15"/>
      <c r="G27" s="15"/>
      <c r="H27" s="19"/>
      <c r="I27" s="19"/>
      <c r="J27" s="19"/>
      <c r="K27" s="15"/>
      <c r="L27" s="15"/>
      <c r="M27" s="15"/>
      <c r="N27" s="15"/>
      <c r="O27" s="15"/>
      <c r="P27" s="15"/>
      <c r="Q27" s="15"/>
      <c r="R27" s="40">
        <v>400</v>
      </c>
      <c r="S27" s="15" t="s">
        <v>43</v>
      </c>
      <c r="T27" s="15"/>
    </row>
    <row r="28" spans="1:20" s="9" customFormat="1" ht="21.95" customHeight="1" x14ac:dyDescent="0.15">
      <c r="A28" s="14">
        <v>23</v>
      </c>
      <c r="B28" s="15" t="s">
        <v>63</v>
      </c>
      <c r="C28" s="15" t="s">
        <v>41</v>
      </c>
      <c r="D28" s="15" t="s">
        <v>101</v>
      </c>
      <c r="E28" s="15"/>
      <c r="F28" s="15"/>
      <c r="G28" s="15"/>
      <c r="H28" s="19"/>
      <c r="I28" s="19"/>
      <c r="J28" s="19"/>
      <c r="K28" s="15"/>
      <c r="L28" s="15"/>
      <c r="M28" s="15"/>
      <c r="N28" s="15"/>
      <c r="O28" s="15"/>
      <c r="P28" s="15"/>
      <c r="Q28" s="15"/>
      <c r="R28" s="40">
        <v>400</v>
      </c>
      <c r="S28" s="15" t="s">
        <v>43</v>
      </c>
      <c r="T28" s="15"/>
    </row>
    <row r="29" spans="1:20" s="9" customFormat="1" ht="21.95" customHeight="1" x14ac:dyDescent="0.15">
      <c r="A29" s="14">
        <v>24</v>
      </c>
      <c r="B29" s="15" t="s">
        <v>63</v>
      </c>
      <c r="C29" s="15" t="s">
        <v>41</v>
      </c>
      <c r="D29" s="15" t="s">
        <v>102</v>
      </c>
      <c r="E29" s="15"/>
      <c r="F29" s="15"/>
      <c r="G29" s="15"/>
      <c r="H29" s="19"/>
      <c r="I29" s="19"/>
      <c r="J29" s="19"/>
      <c r="K29" s="15"/>
      <c r="L29" s="19"/>
      <c r="M29" s="15"/>
      <c r="N29" s="15"/>
      <c r="O29" s="15"/>
      <c r="P29" s="15"/>
      <c r="Q29" s="19"/>
      <c r="R29" s="40">
        <v>400</v>
      </c>
      <c r="S29" s="15" t="s">
        <v>43</v>
      </c>
      <c r="T29" s="15"/>
    </row>
    <row r="30" spans="1:20" s="9" customFormat="1" ht="21.95" customHeight="1" x14ac:dyDescent="0.15">
      <c r="A30" s="14">
        <v>25</v>
      </c>
      <c r="B30" s="15" t="s">
        <v>63</v>
      </c>
      <c r="C30" s="15" t="s">
        <v>41</v>
      </c>
      <c r="D30" s="15" t="s">
        <v>103</v>
      </c>
      <c r="E30" s="15"/>
      <c r="F30" s="15"/>
      <c r="G30" s="15"/>
      <c r="H30" s="19"/>
      <c r="I30" s="19"/>
      <c r="J30" s="19"/>
      <c r="K30" s="15"/>
      <c r="L30" s="15"/>
      <c r="M30" s="15"/>
      <c r="N30" s="15"/>
      <c r="O30" s="15"/>
      <c r="P30" s="15"/>
      <c r="Q30" s="15"/>
      <c r="R30" s="40">
        <v>400</v>
      </c>
      <c r="S30" s="15" t="s">
        <v>43</v>
      </c>
      <c r="T30" s="15"/>
    </row>
    <row r="31" spans="1:20" s="9" customFormat="1" ht="21.95" customHeight="1" x14ac:dyDescent="0.15">
      <c r="A31" s="14">
        <v>26</v>
      </c>
      <c r="B31" s="15" t="s">
        <v>63</v>
      </c>
      <c r="C31" s="15" t="s">
        <v>41</v>
      </c>
      <c r="D31" s="15" t="s">
        <v>104</v>
      </c>
      <c r="E31" s="15"/>
      <c r="F31" s="15"/>
      <c r="G31" s="15"/>
      <c r="H31" s="19"/>
      <c r="I31" s="19"/>
      <c r="J31" s="19"/>
      <c r="K31" s="15"/>
      <c r="L31" s="15"/>
      <c r="N31" s="15"/>
      <c r="O31" s="15"/>
      <c r="P31" s="15"/>
      <c r="Q31" s="15"/>
      <c r="R31" s="40">
        <v>400</v>
      </c>
      <c r="S31" s="66" t="s">
        <v>43</v>
      </c>
      <c r="T31" s="15"/>
    </row>
    <row r="32" spans="1:20" s="9" customFormat="1" ht="21.95" customHeight="1" x14ac:dyDescent="0.15">
      <c r="A32" s="14">
        <v>27</v>
      </c>
      <c r="B32" s="15" t="s">
        <v>63</v>
      </c>
      <c r="C32" s="15" t="s">
        <v>41</v>
      </c>
      <c r="D32" s="15" t="s">
        <v>105</v>
      </c>
      <c r="F32" s="15"/>
      <c r="G32" s="15"/>
      <c r="H32" s="19"/>
      <c r="I32" s="19"/>
      <c r="J32" s="19"/>
      <c r="K32" s="15"/>
      <c r="L32" s="15"/>
      <c r="M32" s="15"/>
      <c r="N32" s="15"/>
      <c r="O32" s="15"/>
      <c r="P32" s="15"/>
      <c r="Q32" s="15"/>
      <c r="R32" s="40">
        <v>400</v>
      </c>
      <c r="S32" s="15" t="s">
        <v>43</v>
      </c>
      <c r="T32" s="15"/>
    </row>
    <row r="33" spans="1:20" s="9" customFormat="1" ht="21.95" customHeight="1" x14ac:dyDescent="0.15">
      <c r="A33" s="14">
        <v>28</v>
      </c>
      <c r="B33" s="15" t="s">
        <v>63</v>
      </c>
      <c r="C33" s="15" t="s">
        <v>41</v>
      </c>
      <c r="D33" s="15" t="s">
        <v>106</v>
      </c>
      <c r="E33" s="15"/>
      <c r="F33" s="15"/>
      <c r="G33" s="15"/>
      <c r="H33" s="19"/>
      <c r="I33" s="19"/>
      <c r="J33" s="19"/>
      <c r="K33" s="15"/>
      <c r="L33" s="15"/>
      <c r="M33" s="15"/>
      <c r="N33" s="15"/>
      <c r="O33" s="15"/>
      <c r="P33" s="15"/>
      <c r="Q33" s="15"/>
      <c r="R33" s="40">
        <v>400</v>
      </c>
      <c r="S33" s="15" t="s">
        <v>43</v>
      </c>
      <c r="T33" s="15"/>
    </row>
    <row r="34" spans="1:20" s="9" customFormat="1" ht="21.95" customHeight="1" x14ac:dyDescent="0.15">
      <c r="A34" s="14">
        <v>29</v>
      </c>
      <c r="B34" s="15" t="s">
        <v>66</v>
      </c>
      <c r="C34" s="15" t="s">
        <v>41</v>
      </c>
      <c r="D34" s="15" t="s">
        <v>107</v>
      </c>
      <c r="E34" s="15"/>
      <c r="F34" s="15"/>
      <c r="G34" s="15"/>
      <c r="H34" s="19"/>
      <c r="I34" s="19"/>
      <c r="J34" s="19"/>
      <c r="K34" s="15"/>
      <c r="L34" s="15"/>
      <c r="M34" s="15"/>
      <c r="N34" s="15"/>
      <c r="O34" s="15"/>
      <c r="P34" s="15"/>
      <c r="Q34" s="15"/>
      <c r="R34" s="40">
        <v>400</v>
      </c>
      <c r="S34" s="15" t="s">
        <v>43</v>
      </c>
      <c r="T34" s="15"/>
    </row>
    <row r="35" spans="1:20" s="9" customFormat="1" ht="21.95" customHeight="1" x14ac:dyDescent="0.15">
      <c r="A35" s="14">
        <v>30</v>
      </c>
      <c r="B35" s="15" t="s">
        <v>66</v>
      </c>
      <c r="C35" s="15" t="s">
        <v>41</v>
      </c>
      <c r="D35" s="15" t="s">
        <v>108</v>
      </c>
      <c r="E35" s="15"/>
      <c r="F35" s="15"/>
      <c r="G35" s="15"/>
      <c r="H35" s="19"/>
      <c r="I35" s="19"/>
      <c r="J35" s="19"/>
      <c r="K35" s="15"/>
      <c r="L35" s="15"/>
      <c r="M35" s="15"/>
      <c r="N35" s="15"/>
      <c r="O35" s="15"/>
      <c r="P35" s="15"/>
      <c r="Q35" s="15"/>
      <c r="R35" s="40">
        <v>400</v>
      </c>
      <c r="S35" s="15" t="s">
        <v>43</v>
      </c>
      <c r="T35" s="15"/>
    </row>
    <row r="36" spans="1:20" s="9" customFormat="1" ht="21.95" customHeight="1" x14ac:dyDescent="0.15">
      <c r="A36" s="14">
        <v>31</v>
      </c>
      <c r="B36" s="15" t="s">
        <v>66</v>
      </c>
      <c r="C36" s="15" t="s">
        <v>41</v>
      </c>
      <c r="D36" s="15" t="s">
        <v>109</v>
      </c>
      <c r="E36" s="15"/>
      <c r="F36" s="15"/>
      <c r="G36" s="15"/>
      <c r="H36" s="19"/>
      <c r="I36" s="19"/>
      <c r="J36" s="19"/>
      <c r="K36" s="15"/>
      <c r="L36" s="15"/>
      <c r="M36" s="15"/>
      <c r="N36" s="15"/>
      <c r="O36" s="15"/>
      <c r="P36" s="15"/>
      <c r="Q36" s="15"/>
      <c r="R36" s="40">
        <v>400</v>
      </c>
      <c r="S36" s="15" t="s">
        <v>43</v>
      </c>
      <c r="T36" s="15"/>
    </row>
    <row r="37" spans="1:20" s="9" customFormat="1" ht="21.95" customHeight="1" x14ac:dyDescent="0.15">
      <c r="A37" s="14">
        <v>32</v>
      </c>
      <c r="B37" s="15" t="s">
        <v>66</v>
      </c>
      <c r="C37" s="15" t="s">
        <v>41</v>
      </c>
      <c r="D37" s="15" t="s">
        <v>110</v>
      </c>
      <c r="E37" s="15"/>
      <c r="F37" s="15"/>
      <c r="G37" s="15"/>
      <c r="H37" s="19"/>
      <c r="I37" s="19"/>
      <c r="J37" s="19"/>
      <c r="K37" s="15"/>
      <c r="L37" s="15"/>
      <c r="M37" s="15"/>
      <c r="N37" s="15"/>
      <c r="O37" s="15"/>
      <c r="P37" s="15"/>
      <c r="Q37" s="15"/>
      <c r="R37" s="40">
        <v>400</v>
      </c>
      <c r="S37" s="15" t="s">
        <v>43</v>
      </c>
      <c r="T37" s="15"/>
    </row>
    <row r="38" spans="1:20" s="9" customFormat="1" ht="21.95" customHeight="1" x14ac:dyDescent="0.15">
      <c r="A38" s="14">
        <v>33</v>
      </c>
      <c r="B38" s="15" t="s">
        <v>66</v>
      </c>
      <c r="C38" s="15" t="s">
        <v>41</v>
      </c>
      <c r="D38" s="20" t="s">
        <v>111</v>
      </c>
      <c r="E38" s="21"/>
      <c r="F38" s="21"/>
      <c r="G38" s="21"/>
      <c r="H38" s="22"/>
      <c r="I38" s="22"/>
      <c r="J38" s="22"/>
      <c r="K38" s="21"/>
      <c r="L38" s="15"/>
      <c r="M38" s="15"/>
      <c r="N38" s="15"/>
      <c r="O38" s="20"/>
      <c r="P38" s="20"/>
      <c r="Q38" s="42"/>
      <c r="R38" s="40">
        <v>400</v>
      </c>
      <c r="S38" s="15" t="s">
        <v>43</v>
      </c>
      <c r="T38" s="15"/>
    </row>
    <row r="39" spans="1:20" s="9" customFormat="1" ht="21.95" customHeight="1" x14ac:dyDescent="0.15">
      <c r="A39" s="14">
        <v>34</v>
      </c>
      <c r="B39" s="15" t="s">
        <v>66</v>
      </c>
      <c r="C39" s="15" t="s">
        <v>41</v>
      </c>
      <c r="D39" s="23" t="s">
        <v>112</v>
      </c>
      <c r="E39" s="24"/>
      <c r="F39" s="24"/>
      <c r="G39" s="24"/>
      <c r="H39" s="25"/>
      <c r="I39" s="25"/>
      <c r="J39" s="25"/>
      <c r="K39" s="24"/>
      <c r="L39" s="15"/>
      <c r="M39" s="15"/>
      <c r="N39" s="15"/>
      <c r="O39" s="23"/>
      <c r="P39" s="23"/>
      <c r="Q39" s="43"/>
      <c r="R39" s="40">
        <v>400</v>
      </c>
      <c r="S39" s="66" t="s">
        <v>43</v>
      </c>
      <c r="T39" s="15"/>
    </row>
    <row r="40" spans="1:20" s="9" customFormat="1" ht="21.95" customHeight="1" x14ac:dyDescent="0.15">
      <c r="A40" s="14">
        <v>35</v>
      </c>
      <c r="B40" s="15" t="s">
        <v>66</v>
      </c>
      <c r="C40" s="15" t="s">
        <v>41</v>
      </c>
      <c r="D40" s="23" t="s">
        <v>113</v>
      </c>
      <c r="E40" s="24"/>
      <c r="F40" s="24"/>
      <c r="G40" s="24"/>
      <c r="H40" s="25"/>
      <c r="I40" s="25"/>
      <c r="J40" s="25"/>
      <c r="K40" s="24"/>
      <c r="L40" s="15"/>
      <c r="M40" s="15"/>
      <c r="N40" s="15"/>
      <c r="O40" s="23"/>
      <c r="P40" s="23"/>
      <c r="Q40" s="43"/>
      <c r="R40" s="40">
        <v>400</v>
      </c>
      <c r="S40" s="15" t="s">
        <v>43</v>
      </c>
      <c r="T40" s="15"/>
    </row>
    <row r="41" spans="1:20" s="9" customFormat="1" ht="21.95" customHeight="1" x14ac:dyDescent="0.15">
      <c r="A41" s="14">
        <v>36</v>
      </c>
      <c r="B41" s="15" t="s">
        <v>76</v>
      </c>
      <c r="C41" s="15" t="s">
        <v>41</v>
      </c>
      <c r="D41" s="20" t="s">
        <v>114</v>
      </c>
      <c r="E41" s="21"/>
      <c r="F41" s="22"/>
      <c r="G41" s="21"/>
      <c r="H41" s="22"/>
      <c r="I41" s="22"/>
      <c r="J41" s="22"/>
      <c r="K41" s="21"/>
      <c r="L41" s="22"/>
      <c r="M41" s="36"/>
      <c r="N41" s="15"/>
      <c r="O41" s="20"/>
      <c r="P41" s="20"/>
      <c r="Q41" s="42"/>
      <c r="R41" s="40">
        <v>400</v>
      </c>
      <c r="S41" s="36" t="s">
        <v>43</v>
      </c>
      <c r="T41" s="15"/>
    </row>
    <row r="42" spans="1:20" s="9" customFormat="1" ht="21.95" customHeight="1" x14ac:dyDescent="0.15">
      <c r="A42" s="14">
        <v>37</v>
      </c>
      <c r="B42" s="15" t="s">
        <v>76</v>
      </c>
      <c r="C42" s="15" t="s">
        <v>41</v>
      </c>
      <c r="D42" s="23" t="s">
        <v>115</v>
      </c>
      <c r="E42" s="24"/>
      <c r="F42" s="25"/>
      <c r="G42" s="24"/>
      <c r="H42" s="25"/>
      <c r="I42" s="25"/>
      <c r="J42" s="25"/>
      <c r="K42" s="24"/>
      <c r="L42" s="25"/>
      <c r="M42" s="36"/>
      <c r="N42" s="15"/>
      <c r="O42" s="23"/>
      <c r="P42" s="23"/>
      <c r="Q42" s="43"/>
      <c r="R42" s="40">
        <v>400</v>
      </c>
      <c r="S42" s="36" t="s">
        <v>43</v>
      </c>
      <c r="T42" s="15"/>
    </row>
    <row r="43" spans="1:20" s="9" customFormat="1" ht="21.95" customHeight="1" x14ac:dyDescent="0.15">
      <c r="A43" s="14">
        <v>38</v>
      </c>
      <c r="B43" s="15" t="s">
        <v>65</v>
      </c>
      <c r="C43" s="15" t="s">
        <v>41</v>
      </c>
      <c r="D43" s="23" t="s">
        <v>116</v>
      </c>
      <c r="E43" s="24"/>
      <c r="F43" s="25"/>
      <c r="G43" s="24"/>
      <c r="H43" s="25"/>
      <c r="I43" s="25"/>
      <c r="J43" s="25"/>
      <c r="K43" s="24"/>
      <c r="L43" s="25"/>
      <c r="M43" s="36"/>
      <c r="N43" s="15"/>
      <c r="O43" s="23"/>
      <c r="P43" s="23"/>
      <c r="Q43" s="43"/>
      <c r="R43" s="40">
        <v>400</v>
      </c>
      <c r="S43" s="36" t="s">
        <v>43</v>
      </c>
      <c r="T43" s="15"/>
    </row>
    <row r="44" spans="1:20" s="9" customFormat="1" ht="21.95" customHeight="1" x14ac:dyDescent="0.15">
      <c r="A44" s="14">
        <v>39</v>
      </c>
      <c r="B44" s="15" t="s">
        <v>65</v>
      </c>
      <c r="C44" s="15" t="s">
        <v>41</v>
      </c>
      <c r="D44" s="26" t="s">
        <v>117</v>
      </c>
      <c r="E44" s="27"/>
      <c r="F44" s="27"/>
      <c r="G44" s="28"/>
      <c r="H44" s="27"/>
      <c r="I44" s="27"/>
      <c r="J44" s="27"/>
      <c r="K44" s="28"/>
      <c r="L44" s="27"/>
      <c r="M44" s="15"/>
      <c r="N44" s="15"/>
      <c r="O44" s="15"/>
      <c r="P44" s="15"/>
      <c r="Q44" s="15"/>
      <c r="R44" s="40">
        <v>400</v>
      </c>
      <c r="S44" s="15" t="s">
        <v>43</v>
      </c>
      <c r="T44" s="15"/>
    </row>
    <row r="45" spans="1:20" s="9" customFormat="1" ht="21.95" customHeight="1" x14ac:dyDescent="0.15">
      <c r="A45" s="14">
        <v>40</v>
      </c>
      <c r="B45" s="29" t="s">
        <v>65</v>
      </c>
      <c r="C45" s="29" t="s">
        <v>41</v>
      </c>
      <c r="D45" s="29" t="s">
        <v>118</v>
      </c>
      <c r="E45" s="29"/>
      <c r="F45" s="30"/>
      <c r="G45" s="29"/>
      <c r="H45" s="30"/>
      <c r="I45" s="30"/>
      <c r="J45" s="30"/>
      <c r="K45" s="29"/>
      <c r="L45" s="30"/>
      <c r="M45" s="30"/>
      <c r="N45" s="29"/>
      <c r="O45" s="29"/>
      <c r="P45" s="29"/>
      <c r="Q45" s="30"/>
      <c r="R45" s="40">
        <v>400</v>
      </c>
      <c r="S45" s="29" t="s">
        <v>43</v>
      </c>
      <c r="T45" s="15"/>
    </row>
    <row r="46" spans="1:20" s="9" customFormat="1" ht="21.95" customHeight="1" x14ac:dyDescent="0.15">
      <c r="A46" s="14">
        <v>41</v>
      </c>
      <c r="B46" s="29" t="s">
        <v>65</v>
      </c>
      <c r="C46" s="29" t="s">
        <v>41</v>
      </c>
      <c r="D46" s="29" t="s">
        <v>119</v>
      </c>
      <c r="E46" s="29"/>
      <c r="F46" s="30"/>
      <c r="G46" s="29"/>
      <c r="H46" s="30"/>
      <c r="I46" s="30"/>
      <c r="J46" s="30"/>
      <c r="K46" s="29"/>
      <c r="L46" s="30"/>
      <c r="M46" s="29"/>
      <c r="N46" s="29"/>
      <c r="O46" s="29"/>
      <c r="P46" s="29"/>
      <c r="Q46" s="30"/>
      <c r="R46" s="40">
        <v>400</v>
      </c>
      <c r="S46" s="29" t="s">
        <v>43</v>
      </c>
      <c r="T46" s="15"/>
    </row>
    <row r="47" spans="1:20" s="9" customFormat="1" ht="21.95" customHeight="1" x14ac:dyDescent="0.15">
      <c r="A47" s="14">
        <v>42</v>
      </c>
      <c r="B47" s="29" t="s">
        <v>65</v>
      </c>
      <c r="C47" s="29" t="s">
        <v>41</v>
      </c>
      <c r="D47" s="29" t="s">
        <v>120</v>
      </c>
      <c r="E47" s="29"/>
      <c r="F47" s="30"/>
      <c r="G47" s="29"/>
      <c r="H47" s="30"/>
      <c r="I47" s="30"/>
      <c r="J47" s="30"/>
      <c r="K47" s="29"/>
      <c r="L47" s="29"/>
      <c r="M47" s="29"/>
      <c r="N47" s="29"/>
      <c r="O47" s="29"/>
      <c r="P47" s="29"/>
      <c r="Q47" s="30"/>
      <c r="R47" s="40">
        <v>400</v>
      </c>
      <c r="S47" s="29" t="s">
        <v>43</v>
      </c>
      <c r="T47" s="15"/>
    </row>
    <row r="48" spans="1:20" s="9" customFormat="1" ht="21.95" customHeight="1" x14ac:dyDescent="0.15">
      <c r="A48" s="14">
        <v>43</v>
      </c>
      <c r="B48" s="29" t="s">
        <v>65</v>
      </c>
      <c r="C48" s="29" t="s">
        <v>41</v>
      </c>
      <c r="D48" s="31" t="s">
        <v>121</v>
      </c>
      <c r="E48" s="29"/>
      <c r="F48" s="30"/>
      <c r="G48" s="29"/>
      <c r="H48" s="32"/>
      <c r="I48" s="32"/>
      <c r="J48" s="32"/>
      <c r="K48" s="29"/>
      <c r="L48" s="30"/>
      <c r="M48" s="29"/>
      <c r="N48" s="29"/>
      <c r="O48" s="29"/>
      <c r="P48" s="29"/>
      <c r="Q48" s="30"/>
      <c r="R48" s="40">
        <v>400</v>
      </c>
      <c r="S48" s="29" t="s">
        <v>43</v>
      </c>
      <c r="T48" s="15"/>
    </row>
    <row r="49" spans="1:20" s="9" customFormat="1" ht="21.95" customHeight="1" x14ac:dyDescent="0.15">
      <c r="A49" s="14">
        <v>44</v>
      </c>
      <c r="B49" s="15" t="s">
        <v>65</v>
      </c>
      <c r="C49" s="15" t="s">
        <v>41</v>
      </c>
      <c r="D49" s="15" t="s">
        <v>122</v>
      </c>
      <c r="E49" s="15"/>
      <c r="F49" s="19"/>
      <c r="G49" s="15"/>
      <c r="H49" s="19"/>
      <c r="I49" s="19"/>
      <c r="J49" s="19"/>
      <c r="K49" s="15"/>
      <c r="L49" s="19"/>
      <c r="M49" s="19"/>
      <c r="N49" s="15"/>
      <c r="O49" s="19"/>
      <c r="P49" s="19"/>
      <c r="Q49" s="19"/>
      <c r="R49" s="44">
        <v>400</v>
      </c>
      <c r="S49" s="15" t="s">
        <v>43</v>
      </c>
      <c r="T49" s="15"/>
    </row>
    <row r="50" spans="1:20" s="9" customFormat="1" ht="21.95" customHeight="1" x14ac:dyDescent="0.15">
      <c r="A50" s="14">
        <v>45</v>
      </c>
      <c r="B50" s="15" t="s">
        <v>65</v>
      </c>
      <c r="C50" s="15" t="s">
        <v>41</v>
      </c>
      <c r="D50" s="15" t="s">
        <v>123</v>
      </c>
      <c r="E50" s="15"/>
      <c r="F50" s="19"/>
      <c r="G50" s="15"/>
      <c r="H50" s="19"/>
      <c r="I50" s="19"/>
      <c r="J50" s="19"/>
      <c r="K50" s="15"/>
      <c r="L50" s="19"/>
      <c r="M50" s="19"/>
      <c r="N50" s="15"/>
      <c r="O50" s="19"/>
      <c r="P50" s="19"/>
      <c r="Q50" s="19"/>
      <c r="R50" s="45">
        <v>400</v>
      </c>
      <c r="S50" s="15" t="s">
        <v>43</v>
      </c>
      <c r="T50" s="15"/>
    </row>
    <row r="51" spans="1:20" s="9" customFormat="1" ht="21.95" customHeight="1" x14ac:dyDescent="0.15">
      <c r="A51" s="14">
        <v>46</v>
      </c>
      <c r="B51" s="15" t="s">
        <v>65</v>
      </c>
      <c r="C51" s="15" t="s">
        <v>41</v>
      </c>
      <c r="D51" s="15" t="s">
        <v>124</v>
      </c>
      <c r="E51" s="15"/>
      <c r="F51" s="15"/>
      <c r="G51" s="15"/>
      <c r="H51" s="19"/>
      <c r="I51" s="19"/>
      <c r="J51" s="19"/>
      <c r="K51" s="15"/>
      <c r="L51" s="15"/>
      <c r="M51" s="15"/>
      <c r="N51" s="15"/>
      <c r="O51" s="15"/>
      <c r="P51" s="15"/>
      <c r="Q51" s="15"/>
      <c r="R51" s="45">
        <v>400</v>
      </c>
      <c r="S51" s="15" t="s">
        <v>43</v>
      </c>
      <c r="T51" s="15"/>
    </row>
    <row r="52" spans="1:20" s="9" customFormat="1" ht="21.95" customHeight="1" x14ac:dyDescent="0.15">
      <c r="A52" s="14">
        <v>47</v>
      </c>
      <c r="B52" s="15" t="s">
        <v>65</v>
      </c>
      <c r="C52" s="15" t="s">
        <v>41</v>
      </c>
      <c r="D52" s="15" t="s">
        <v>125</v>
      </c>
      <c r="E52" s="15"/>
      <c r="F52" s="15"/>
      <c r="G52" s="15"/>
      <c r="H52" s="19"/>
      <c r="I52" s="19"/>
      <c r="J52" s="19"/>
      <c r="K52" s="15"/>
      <c r="L52" s="15"/>
      <c r="M52" s="15"/>
      <c r="N52" s="15"/>
      <c r="O52" s="15"/>
      <c r="P52" s="15"/>
      <c r="Q52" s="15"/>
      <c r="R52" s="45">
        <v>400</v>
      </c>
      <c r="S52" s="15" t="s">
        <v>43</v>
      </c>
      <c r="T52" s="15"/>
    </row>
    <row r="53" spans="1:20" s="9" customFormat="1" ht="21.95" customHeight="1" x14ac:dyDescent="0.15">
      <c r="A53" s="14">
        <v>48</v>
      </c>
      <c r="B53" s="15" t="s">
        <v>65</v>
      </c>
      <c r="C53" s="15" t="s">
        <v>41</v>
      </c>
      <c r="D53" s="15" t="s">
        <v>126</v>
      </c>
      <c r="E53" s="15"/>
      <c r="F53" s="15"/>
      <c r="G53" s="15"/>
      <c r="H53" s="19"/>
      <c r="I53" s="19"/>
      <c r="J53" s="19"/>
      <c r="K53" s="15"/>
      <c r="L53" s="15"/>
      <c r="M53" s="15"/>
      <c r="N53" s="15"/>
      <c r="O53" s="15"/>
      <c r="P53" s="15"/>
      <c r="Q53" s="15"/>
      <c r="R53" s="45">
        <v>400</v>
      </c>
      <c r="S53" s="15" t="s">
        <v>43</v>
      </c>
      <c r="T53" s="15"/>
    </row>
    <row r="54" spans="1:20" s="9" customFormat="1" ht="21.95" customHeight="1" x14ac:dyDescent="0.15">
      <c r="A54" s="14">
        <v>49</v>
      </c>
      <c r="B54" s="15" t="s">
        <v>65</v>
      </c>
      <c r="C54" s="15" t="s">
        <v>41</v>
      </c>
      <c r="D54" s="15" t="s">
        <v>127</v>
      </c>
      <c r="E54" s="15"/>
      <c r="F54" s="15"/>
      <c r="G54" s="15"/>
      <c r="H54" s="19"/>
      <c r="I54" s="19"/>
      <c r="J54" s="19"/>
      <c r="K54" s="15"/>
      <c r="L54" s="15"/>
      <c r="M54" s="15"/>
      <c r="N54" s="15"/>
      <c r="O54" s="15"/>
      <c r="P54" s="15"/>
      <c r="Q54" s="15"/>
      <c r="R54" s="45">
        <v>400</v>
      </c>
      <c r="S54" s="15" t="s">
        <v>43</v>
      </c>
      <c r="T54" s="15"/>
    </row>
    <row r="55" spans="1:20" s="9" customFormat="1" ht="21.95" customHeight="1" x14ac:dyDescent="0.15">
      <c r="A55" s="14">
        <v>50</v>
      </c>
      <c r="B55" s="15" t="s">
        <v>65</v>
      </c>
      <c r="C55" s="15" t="s">
        <v>41</v>
      </c>
      <c r="D55" s="15" t="s">
        <v>128</v>
      </c>
      <c r="E55" s="15"/>
      <c r="F55" s="15"/>
      <c r="G55" s="15"/>
      <c r="H55" s="19"/>
      <c r="I55" s="19"/>
      <c r="J55" s="19"/>
      <c r="K55" s="15"/>
      <c r="L55" s="15"/>
      <c r="M55" s="15"/>
      <c r="N55" s="15"/>
      <c r="O55" s="15"/>
      <c r="P55" s="15"/>
      <c r="Q55" s="15"/>
      <c r="R55" s="45">
        <v>400</v>
      </c>
      <c r="S55" s="15" t="s">
        <v>43</v>
      </c>
      <c r="T55" s="15"/>
    </row>
    <row r="56" spans="1:20" s="9" customFormat="1" ht="21.95" customHeight="1" x14ac:dyDescent="0.15">
      <c r="A56" s="14">
        <v>51</v>
      </c>
      <c r="B56" s="15" t="s">
        <v>65</v>
      </c>
      <c r="C56" s="15" t="s">
        <v>41</v>
      </c>
      <c r="D56" s="15" t="s">
        <v>129</v>
      </c>
      <c r="E56" s="15"/>
      <c r="F56" s="15"/>
      <c r="G56" s="15"/>
      <c r="H56" s="19"/>
      <c r="I56" s="19"/>
      <c r="J56" s="19"/>
      <c r="K56" s="15"/>
      <c r="L56" s="15"/>
      <c r="M56" s="15"/>
      <c r="N56" s="15"/>
      <c r="O56" s="15"/>
      <c r="P56" s="15"/>
      <c r="Q56" s="15"/>
      <c r="R56" s="45">
        <v>400</v>
      </c>
      <c r="S56" s="15" t="s">
        <v>43</v>
      </c>
      <c r="T56" s="15"/>
    </row>
    <row r="57" spans="1:20" s="9" customFormat="1" ht="21.95" customHeight="1" x14ac:dyDescent="0.15">
      <c r="A57" s="14">
        <v>52</v>
      </c>
      <c r="B57" s="15" t="s">
        <v>65</v>
      </c>
      <c r="C57" s="15" t="s">
        <v>41</v>
      </c>
      <c r="D57" s="15" t="s">
        <v>130</v>
      </c>
      <c r="E57" s="15"/>
      <c r="F57" s="15"/>
      <c r="G57" s="15"/>
      <c r="H57" s="19"/>
      <c r="I57" s="19"/>
      <c r="J57" s="19"/>
      <c r="K57" s="15"/>
      <c r="L57" s="15"/>
      <c r="M57" s="15"/>
      <c r="N57" s="15"/>
      <c r="O57" s="15"/>
      <c r="P57" s="15"/>
      <c r="Q57" s="15"/>
      <c r="R57" s="45">
        <v>400</v>
      </c>
      <c r="S57" s="15" t="s">
        <v>43</v>
      </c>
      <c r="T57" s="15"/>
    </row>
    <row r="58" spans="1:20" s="9" customFormat="1" ht="21.95" customHeight="1" x14ac:dyDescent="0.15">
      <c r="A58" s="14">
        <v>53</v>
      </c>
      <c r="B58" s="15" t="s">
        <v>65</v>
      </c>
      <c r="C58" s="15" t="s">
        <v>41</v>
      </c>
      <c r="D58" s="15" t="s">
        <v>131</v>
      </c>
      <c r="E58" s="15"/>
      <c r="F58" s="15"/>
      <c r="G58" s="15"/>
      <c r="H58" s="19"/>
      <c r="I58" s="19"/>
      <c r="J58" s="19"/>
      <c r="K58" s="15"/>
      <c r="L58" s="15"/>
      <c r="M58" s="15"/>
      <c r="N58" s="15"/>
      <c r="O58" s="15"/>
      <c r="P58" s="15"/>
      <c r="Q58" s="15"/>
      <c r="R58" s="45">
        <v>400</v>
      </c>
      <c r="S58" s="15" t="s">
        <v>43</v>
      </c>
      <c r="T58" s="15"/>
    </row>
    <row r="59" spans="1:20" s="9" customFormat="1" ht="21.95" customHeight="1" x14ac:dyDescent="0.15">
      <c r="A59" s="14">
        <v>54</v>
      </c>
      <c r="B59" s="15" t="s">
        <v>67</v>
      </c>
      <c r="C59" s="15" t="s">
        <v>81</v>
      </c>
      <c r="D59" s="15" t="s">
        <v>132</v>
      </c>
      <c r="E59" s="15"/>
      <c r="F59" s="15"/>
      <c r="G59" s="15"/>
      <c r="H59" s="19"/>
      <c r="I59" s="19"/>
      <c r="J59" s="19"/>
      <c r="K59" s="15"/>
      <c r="L59" s="15"/>
      <c r="M59" s="15"/>
      <c r="N59" s="15"/>
      <c r="O59" s="15"/>
      <c r="P59" s="15"/>
      <c r="Q59" s="15"/>
      <c r="R59" s="45">
        <v>400</v>
      </c>
      <c r="S59" s="15" t="s">
        <v>43</v>
      </c>
      <c r="T59" s="15"/>
    </row>
    <row r="60" spans="1:20" s="9" customFormat="1" ht="21.95" customHeight="1" x14ac:dyDescent="0.15">
      <c r="A60" s="14">
        <v>55</v>
      </c>
      <c r="B60" s="15" t="s">
        <v>67</v>
      </c>
      <c r="C60" s="15" t="s">
        <v>81</v>
      </c>
      <c r="D60" s="15" t="s">
        <v>133</v>
      </c>
      <c r="E60" s="15"/>
      <c r="F60" s="15"/>
      <c r="G60" s="15"/>
      <c r="H60" s="19"/>
      <c r="I60" s="19"/>
      <c r="J60" s="19"/>
      <c r="K60" s="15"/>
      <c r="L60" s="15"/>
      <c r="M60" s="15"/>
      <c r="N60" s="15"/>
      <c r="O60" s="15"/>
      <c r="P60" s="15"/>
      <c r="Q60" s="15"/>
      <c r="R60" s="45">
        <v>400</v>
      </c>
      <c r="S60" s="15" t="s">
        <v>43</v>
      </c>
      <c r="T60" s="15"/>
    </row>
    <row r="61" spans="1:20" s="9" customFormat="1" ht="21.95" customHeight="1" x14ac:dyDescent="0.15">
      <c r="A61" s="14">
        <v>56</v>
      </c>
      <c r="B61" s="15" t="s">
        <v>67</v>
      </c>
      <c r="C61" s="15" t="s">
        <v>81</v>
      </c>
      <c r="D61" s="15" t="s">
        <v>134</v>
      </c>
      <c r="E61" s="15"/>
      <c r="F61" s="15"/>
      <c r="G61" s="15"/>
      <c r="H61" s="19"/>
      <c r="I61" s="19"/>
      <c r="J61" s="19"/>
      <c r="K61" s="15"/>
      <c r="L61" s="15"/>
      <c r="M61" s="15"/>
      <c r="N61" s="15"/>
      <c r="O61" s="15"/>
      <c r="P61" s="15"/>
      <c r="Q61" s="15"/>
      <c r="R61" s="45">
        <v>400</v>
      </c>
      <c r="S61" s="15" t="s">
        <v>43</v>
      </c>
      <c r="T61" s="15"/>
    </row>
    <row r="62" spans="1:20" s="9" customFormat="1" ht="21.95" customHeight="1" x14ac:dyDescent="0.15">
      <c r="A62" s="14">
        <v>57</v>
      </c>
      <c r="B62" s="15" t="s">
        <v>67</v>
      </c>
      <c r="C62" s="15" t="s">
        <v>81</v>
      </c>
      <c r="D62" s="15" t="s">
        <v>135</v>
      </c>
      <c r="E62" s="15"/>
      <c r="F62" s="15"/>
      <c r="G62" s="15"/>
      <c r="H62" s="19"/>
      <c r="I62" s="19"/>
      <c r="J62" s="19"/>
      <c r="K62" s="15"/>
      <c r="L62" s="15"/>
      <c r="M62" s="15"/>
      <c r="N62" s="15"/>
      <c r="O62" s="15"/>
      <c r="P62" s="15"/>
      <c r="Q62" s="15"/>
      <c r="R62" s="45">
        <v>400</v>
      </c>
      <c r="S62" s="15" t="s">
        <v>43</v>
      </c>
      <c r="T62" s="15"/>
    </row>
    <row r="63" spans="1:20" s="9" customFormat="1" ht="21.95" customHeight="1" x14ac:dyDescent="0.15">
      <c r="A63" s="14">
        <v>58</v>
      </c>
      <c r="B63" s="15" t="s">
        <v>64</v>
      </c>
      <c r="C63" s="15" t="s">
        <v>41</v>
      </c>
      <c r="D63" s="15" t="s">
        <v>136</v>
      </c>
      <c r="E63" s="15"/>
      <c r="F63" s="15"/>
      <c r="G63" s="15"/>
      <c r="H63" s="19"/>
      <c r="I63" s="19"/>
      <c r="J63" s="19"/>
      <c r="K63" s="15"/>
      <c r="L63" s="15"/>
      <c r="M63" s="15"/>
      <c r="N63" s="15"/>
      <c r="O63" s="15"/>
      <c r="P63" s="15"/>
      <c r="Q63" s="15"/>
      <c r="R63" s="46">
        <v>400</v>
      </c>
      <c r="S63" s="15" t="s">
        <v>43</v>
      </c>
      <c r="T63" s="15"/>
    </row>
    <row r="64" spans="1:20" s="9" customFormat="1" ht="21.95" customHeight="1" x14ac:dyDescent="0.15">
      <c r="A64" s="14">
        <v>59</v>
      </c>
      <c r="B64" s="15" t="s">
        <v>64</v>
      </c>
      <c r="C64" s="15" t="s">
        <v>41</v>
      </c>
      <c r="D64" s="15" t="s">
        <v>137</v>
      </c>
      <c r="E64" s="15"/>
      <c r="F64" s="15"/>
      <c r="G64" s="15"/>
      <c r="H64" s="19"/>
      <c r="I64" s="19"/>
      <c r="J64" s="19"/>
      <c r="K64" s="15"/>
      <c r="L64" s="15"/>
      <c r="M64" s="15"/>
      <c r="N64" s="15"/>
      <c r="O64" s="15"/>
      <c r="P64" s="15"/>
      <c r="Q64" s="15"/>
      <c r="R64" s="40">
        <v>400</v>
      </c>
      <c r="S64" s="15" t="s">
        <v>43</v>
      </c>
      <c r="T64" s="15"/>
    </row>
    <row r="65" spans="1:20" s="9" customFormat="1" ht="21.95" customHeight="1" x14ac:dyDescent="0.15">
      <c r="A65" s="14">
        <v>60</v>
      </c>
      <c r="B65" s="15" t="s">
        <v>64</v>
      </c>
      <c r="C65" s="15" t="s">
        <v>41</v>
      </c>
      <c r="D65" s="15" t="s">
        <v>138</v>
      </c>
      <c r="E65" s="15"/>
      <c r="F65" s="15"/>
      <c r="G65" s="15"/>
      <c r="H65" s="19"/>
      <c r="I65" s="19"/>
      <c r="J65" s="19"/>
      <c r="K65" s="15"/>
      <c r="L65" s="15"/>
      <c r="M65" s="15"/>
      <c r="N65" s="15"/>
      <c r="O65" s="15"/>
      <c r="P65" s="15"/>
      <c r="Q65" s="15"/>
      <c r="R65" s="40">
        <v>400</v>
      </c>
      <c r="S65" s="15" t="s">
        <v>43</v>
      </c>
      <c r="T65" s="15"/>
    </row>
    <row r="66" spans="1:20" s="9" customFormat="1" ht="21.95" customHeight="1" x14ac:dyDescent="0.15">
      <c r="A66" s="14">
        <v>61</v>
      </c>
      <c r="B66" s="15" t="s">
        <v>64</v>
      </c>
      <c r="C66" s="15" t="s">
        <v>41</v>
      </c>
      <c r="D66" s="15" t="s">
        <v>139</v>
      </c>
      <c r="E66" s="15"/>
      <c r="F66" s="15"/>
      <c r="G66" s="15"/>
      <c r="H66" s="19"/>
      <c r="I66" s="19"/>
      <c r="J66" s="19"/>
      <c r="K66" s="15"/>
      <c r="L66" s="15"/>
      <c r="M66" s="15"/>
      <c r="N66" s="15"/>
      <c r="O66" s="15"/>
      <c r="P66" s="15"/>
      <c r="Q66" s="15"/>
      <c r="R66" s="40">
        <v>400</v>
      </c>
      <c r="S66" s="15" t="s">
        <v>43</v>
      </c>
      <c r="T66" s="15"/>
    </row>
    <row r="67" spans="1:20" s="9" customFormat="1" ht="21.95" customHeight="1" x14ac:dyDescent="0.15">
      <c r="A67" s="14">
        <v>62</v>
      </c>
      <c r="B67" s="47" t="s">
        <v>64</v>
      </c>
      <c r="C67" s="47" t="s">
        <v>41</v>
      </c>
      <c r="D67" s="47" t="s">
        <v>140</v>
      </c>
      <c r="E67" s="47"/>
      <c r="F67" s="48"/>
      <c r="G67" s="47"/>
      <c r="H67" s="48"/>
      <c r="I67" s="48"/>
      <c r="J67" s="48"/>
      <c r="K67" s="47"/>
      <c r="L67" s="48"/>
      <c r="M67" s="48"/>
      <c r="N67" s="47"/>
      <c r="O67" s="47"/>
      <c r="P67" s="47"/>
      <c r="Q67" s="48"/>
      <c r="R67" s="40">
        <v>400</v>
      </c>
      <c r="S67" s="47" t="s">
        <v>43</v>
      </c>
      <c r="T67" s="15"/>
    </row>
    <row r="68" spans="1:20" s="9" customFormat="1" ht="21.95" customHeight="1" x14ac:dyDescent="0.15">
      <c r="A68" s="14">
        <v>63</v>
      </c>
      <c r="B68" s="47" t="s">
        <v>64</v>
      </c>
      <c r="C68" s="47" t="s">
        <v>41</v>
      </c>
      <c r="D68" s="47" t="s">
        <v>141</v>
      </c>
      <c r="E68" s="47"/>
      <c r="F68" s="48"/>
      <c r="G68" s="47"/>
      <c r="H68" s="48"/>
      <c r="I68" s="48"/>
      <c r="J68" s="48"/>
      <c r="K68" s="47"/>
      <c r="L68" s="48"/>
      <c r="M68" s="48"/>
      <c r="N68" s="47"/>
      <c r="O68" s="47"/>
      <c r="P68" s="47"/>
      <c r="Q68" s="48"/>
      <c r="R68" s="40">
        <v>400</v>
      </c>
      <c r="S68" s="47" t="s">
        <v>43</v>
      </c>
      <c r="T68" s="15"/>
    </row>
    <row r="69" spans="1:20" s="9" customFormat="1" ht="21.95" customHeight="1" x14ac:dyDescent="0.15">
      <c r="A69" s="14">
        <v>64</v>
      </c>
      <c r="B69" s="47" t="s">
        <v>64</v>
      </c>
      <c r="C69" s="47" t="s">
        <v>41</v>
      </c>
      <c r="D69" s="47" t="s">
        <v>142</v>
      </c>
      <c r="E69" s="47"/>
      <c r="F69" s="48"/>
      <c r="G69" s="47"/>
      <c r="H69" s="48"/>
      <c r="I69" s="48"/>
      <c r="J69" s="48"/>
      <c r="K69" s="47"/>
      <c r="L69" s="48"/>
      <c r="M69" s="48"/>
      <c r="N69" s="47"/>
      <c r="O69" s="47"/>
      <c r="P69" s="47"/>
      <c r="Q69" s="48"/>
      <c r="R69" s="40">
        <v>400</v>
      </c>
      <c r="S69" s="47" t="s">
        <v>43</v>
      </c>
      <c r="T69" s="15"/>
    </row>
    <row r="70" spans="1:20" s="9" customFormat="1" ht="21.95" customHeight="1" x14ac:dyDescent="0.15">
      <c r="A70" s="14">
        <v>65</v>
      </c>
      <c r="B70" s="47" t="s">
        <v>64</v>
      </c>
      <c r="C70" s="47" t="s">
        <v>41</v>
      </c>
      <c r="D70" s="47" t="s">
        <v>143</v>
      </c>
      <c r="E70" s="47"/>
      <c r="F70" s="48"/>
      <c r="G70" s="47"/>
      <c r="H70" s="48"/>
      <c r="I70" s="48"/>
      <c r="J70" s="48"/>
      <c r="K70" s="47"/>
      <c r="L70" s="48"/>
      <c r="M70" s="48"/>
      <c r="N70" s="47"/>
      <c r="O70" s="47"/>
      <c r="P70" s="47"/>
      <c r="Q70" s="48"/>
      <c r="R70" s="40">
        <v>400</v>
      </c>
      <c r="S70" s="47" t="s">
        <v>43</v>
      </c>
      <c r="T70" s="15"/>
    </row>
    <row r="71" spans="1:20" s="9" customFormat="1" ht="21.95" customHeight="1" x14ac:dyDescent="0.15">
      <c r="A71" s="14">
        <v>66</v>
      </c>
      <c r="B71" s="47" t="s">
        <v>79</v>
      </c>
      <c r="C71" s="47" t="s">
        <v>41</v>
      </c>
      <c r="D71" s="47" t="s">
        <v>144</v>
      </c>
      <c r="E71" s="47"/>
      <c r="F71" s="48"/>
      <c r="G71" s="47"/>
      <c r="H71" s="48"/>
      <c r="I71" s="48"/>
      <c r="J71" s="48"/>
      <c r="K71" s="47"/>
      <c r="L71" s="48"/>
      <c r="M71" s="48"/>
      <c r="N71" s="47"/>
      <c r="O71" s="47"/>
      <c r="P71" s="47"/>
      <c r="Q71" s="48"/>
      <c r="R71" s="40">
        <v>400</v>
      </c>
      <c r="S71" s="47" t="s">
        <v>43</v>
      </c>
      <c r="T71" s="15"/>
    </row>
    <row r="72" spans="1:20" s="9" customFormat="1" ht="21.95" customHeight="1" x14ac:dyDescent="0.15">
      <c r="A72" s="14">
        <v>67</v>
      </c>
      <c r="B72" s="47" t="s">
        <v>79</v>
      </c>
      <c r="C72" s="47" t="s">
        <v>41</v>
      </c>
      <c r="D72" s="47" t="s">
        <v>145</v>
      </c>
      <c r="E72" s="47"/>
      <c r="F72" s="48"/>
      <c r="G72" s="47"/>
      <c r="H72" s="48"/>
      <c r="I72" s="48"/>
      <c r="J72" s="48"/>
      <c r="K72" s="47"/>
      <c r="L72" s="48"/>
      <c r="M72" s="48"/>
      <c r="N72" s="47"/>
      <c r="O72" s="47"/>
      <c r="P72" s="47"/>
      <c r="Q72" s="48"/>
      <c r="R72" s="40">
        <v>400</v>
      </c>
      <c r="S72" s="47" t="s">
        <v>43</v>
      </c>
      <c r="T72" s="15"/>
    </row>
    <row r="73" spans="1:20" s="9" customFormat="1" ht="21.95" customHeight="1" x14ac:dyDescent="0.15">
      <c r="A73" s="14">
        <v>68</v>
      </c>
      <c r="B73" s="47" t="s">
        <v>79</v>
      </c>
      <c r="C73" s="47" t="s">
        <v>41</v>
      </c>
      <c r="D73" s="47" t="s">
        <v>146</v>
      </c>
      <c r="E73" s="47"/>
      <c r="F73" s="48"/>
      <c r="G73" s="47"/>
      <c r="H73" s="48"/>
      <c r="I73" s="48"/>
      <c r="J73" s="48"/>
      <c r="K73" s="47"/>
      <c r="L73" s="48"/>
      <c r="M73" s="48"/>
      <c r="N73" s="47"/>
      <c r="O73" s="47"/>
      <c r="P73" s="47"/>
      <c r="Q73" s="48"/>
      <c r="R73" s="40">
        <v>400</v>
      </c>
      <c r="S73" s="47" t="s">
        <v>43</v>
      </c>
      <c r="T73" s="15"/>
    </row>
    <row r="74" spans="1:20" s="9" customFormat="1" ht="21.95" customHeight="1" x14ac:dyDescent="0.15">
      <c r="A74" s="14">
        <v>69</v>
      </c>
      <c r="B74" s="47" t="s">
        <v>79</v>
      </c>
      <c r="C74" s="47" t="s">
        <v>41</v>
      </c>
      <c r="D74" s="47" t="s">
        <v>147</v>
      </c>
      <c r="E74" s="47"/>
      <c r="F74" s="48"/>
      <c r="G74" s="47"/>
      <c r="H74" s="48"/>
      <c r="I74" s="48"/>
      <c r="J74" s="48"/>
      <c r="K74" s="47"/>
      <c r="L74" s="48"/>
      <c r="M74" s="48"/>
      <c r="N74" s="47"/>
      <c r="O74" s="47"/>
      <c r="P74" s="47"/>
      <c r="Q74" s="48"/>
      <c r="R74" s="40">
        <v>400</v>
      </c>
      <c r="S74" s="47" t="s">
        <v>43</v>
      </c>
      <c r="T74" s="15"/>
    </row>
    <row r="75" spans="1:20" s="9" customFormat="1" ht="21.95" customHeight="1" x14ac:dyDescent="0.15">
      <c r="A75" s="14">
        <v>70</v>
      </c>
      <c r="B75" s="47" t="s">
        <v>79</v>
      </c>
      <c r="C75" s="47" t="s">
        <v>41</v>
      </c>
      <c r="D75" s="47" t="s">
        <v>148</v>
      </c>
      <c r="E75" s="47"/>
      <c r="F75" s="48"/>
      <c r="G75" s="47"/>
      <c r="H75" s="48"/>
      <c r="I75" s="48"/>
      <c r="J75" s="48"/>
      <c r="K75" s="47"/>
      <c r="L75" s="48"/>
      <c r="M75" s="48"/>
      <c r="N75" s="47"/>
      <c r="O75" s="47"/>
      <c r="P75" s="47"/>
      <c r="Q75" s="48"/>
      <c r="R75" s="40">
        <v>400</v>
      </c>
      <c r="S75" s="47" t="s">
        <v>43</v>
      </c>
      <c r="T75" s="15"/>
    </row>
    <row r="76" spans="1:20" s="9" customFormat="1" ht="21.95" customHeight="1" x14ac:dyDescent="0.15">
      <c r="A76" s="14">
        <v>71</v>
      </c>
      <c r="B76" s="47" t="s">
        <v>79</v>
      </c>
      <c r="C76" s="47" t="s">
        <v>41</v>
      </c>
      <c r="D76" s="47" t="s">
        <v>149</v>
      </c>
      <c r="E76" s="47"/>
      <c r="F76" s="48"/>
      <c r="G76" s="47"/>
      <c r="H76" s="48"/>
      <c r="I76" s="48"/>
      <c r="J76" s="48"/>
      <c r="K76" s="47"/>
      <c r="L76" s="48"/>
      <c r="M76" s="48"/>
      <c r="N76" s="47"/>
      <c r="O76" s="47"/>
      <c r="P76" s="47"/>
      <c r="Q76" s="48"/>
      <c r="R76" s="40">
        <v>400</v>
      </c>
      <c r="S76" s="47" t="s">
        <v>43</v>
      </c>
      <c r="T76" s="15"/>
    </row>
    <row r="77" spans="1:20" s="9" customFormat="1" ht="21.95" customHeight="1" x14ac:dyDescent="0.15">
      <c r="A77" s="14">
        <v>72</v>
      </c>
      <c r="B77" s="47" t="s">
        <v>79</v>
      </c>
      <c r="C77" s="47" t="s">
        <v>41</v>
      </c>
      <c r="D77" s="47" t="s">
        <v>150</v>
      </c>
      <c r="E77" s="47"/>
      <c r="F77" s="48"/>
      <c r="G77" s="47"/>
      <c r="H77" s="48"/>
      <c r="I77" s="48"/>
      <c r="J77" s="48"/>
      <c r="K77" s="47"/>
      <c r="L77" s="48"/>
      <c r="M77" s="48"/>
      <c r="N77" s="47"/>
      <c r="O77" s="47"/>
      <c r="P77" s="47"/>
      <c r="Q77" s="48"/>
      <c r="R77" s="40">
        <v>400</v>
      </c>
      <c r="S77" s="47" t="s">
        <v>43</v>
      </c>
      <c r="T77" s="15"/>
    </row>
    <row r="78" spans="1:20" s="9" customFormat="1" ht="21.95" customHeight="1" x14ac:dyDescent="0.15">
      <c r="A78" s="14">
        <v>73</v>
      </c>
      <c r="B78" s="47" t="s">
        <v>79</v>
      </c>
      <c r="C78" s="47" t="s">
        <v>41</v>
      </c>
      <c r="D78" s="47" t="s">
        <v>151</v>
      </c>
      <c r="E78" s="47"/>
      <c r="F78" s="48"/>
      <c r="G78" s="47"/>
      <c r="H78" s="48"/>
      <c r="I78" s="48"/>
      <c r="J78" s="48"/>
      <c r="K78" s="47"/>
      <c r="L78" s="48"/>
      <c r="M78" s="48"/>
      <c r="N78" s="47"/>
      <c r="O78" s="47"/>
      <c r="P78" s="47"/>
      <c r="Q78" s="48"/>
      <c r="R78" s="40">
        <v>400</v>
      </c>
      <c r="S78" s="47" t="s">
        <v>43</v>
      </c>
      <c r="T78" s="15"/>
    </row>
    <row r="79" spans="1:20" s="9" customFormat="1" ht="21.95" customHeight="1" x14ac:dyDescent="0.15">
      <c r="A79" s="14">
        <v>74</v>
      </c>
      <c r="B79" s="47" t="s">
        <v>79</v>
      </c>
      <c r="C79" s="47" t="s">
        <v>41</v>
      </c>
      <c r="D79" s="47" t="s">
        <v>152</v>
      </c>
      <c r="E79" s="47"/>
      <c r="F79" s="48"/>
      <c r="G79" s="47"/>
      <c r="H79" s="48"/>
      <c r="I79" s="48"/>
      <c r="J79" s="48"/>
      <c r="K79" s="47"/>
      <c r="L79" s="48"/>
      <c r="M79" s="48"/>
      <c r="N79" s="47"/>
      <c r="O79" s="47"/>
      <c r="P79" s="47"/>
      <c r="Q79" s="48"/>
      <c r="R79" s="40">
        <v>400</v>
      </c>
      <c r="S79" s="47" t="s">
        <v>43</v>
      </c>
      <c r="T79" s="15"/>
    </row>
    <row r="80" spans="1:20" s="9" customFormat="1" ht="21.95" customHeight="1" x14ac:dyDescent="0.15">
      <c r="A80" s="14">
        <v>75</v>
      </c>
      <c r="B80" s="47" t="s">
        <v>79</v>
      </c>
      <c r="C80" s="47" t="s">
        <v>41</v>
      </c>
      <c r="D80" s="47" t="s">
        <v>153</v>
      </c>
      <c r="E80" s="47"/>
      <c r="F80" s="47"/>
      <c r="G80" s="47"/>
      <c r="H80" s="48"/>
      <c r="I80" s="48"/>
      <c r="J80" s="48"/>
      <c r="K80" s="47"/>
      <c r="L80" s="47"/>
      <c r="M80" s="48"/>
      <c r="N80" s="47"/>
      <c r="O80" s="47"/>
      <c r="P80" s="47"/>
      <c r="Q80" s="47"/>
      <c r="R80" s="49">
        <v>400</v>
      </c>
      <c r="S80" s="47" t="s">
        <v>43</v>
      </c>
      <c r="T80" s="15"/>
    </row>
    <row r="81" spans="1:20" s="9" customFormat="1" ht="21.95" customHeight="1" x14ac:dyDescent="0.15">
      <c r="A81" s="14">
        <v>76</v>
      </c>
      <c r="B81" s="47"/>
      <c r="C81" s="47"/>
      <c r="D81" s="47"/>
      <c r="E81" s="47"/>
      <c r="F81" s="47"/>
      <c r="G81" s="47"/>
      <c r="H81" s="48"/>
      <c r="I81" s="48"/>
      <c r="J81" s="48"/>
      <c r="K81" s="47"/>
      <c r="L81" s="47"/>
      <c r="M81" s="48"/>
      <c r="N81" s="47"/>
      <c r="O81" s="47"/>
      <c r="P81" s="47"/>
      <c r="Q81" s="47"/>
      <c r="R81" s="49"/>
      <c r="S81" s="47"/>
      <c r="T81" s="15"/>
    </row>
  </sheetData>
  <sheetProtection formatCells="0" formatColumns="0" formatRows="0" insertHyperlinks="0" autoFilter="0" pivotTables="0"/>
  <mergeCells count="8">
    <mergeCell ref="A1:S1"/>
    <mergeCell ref="A2:T2"/>
    <mergeCell ref="B3:C3"/>
    <mergeCell ref="D3:J3"/>
    <mergeCell ref="K3:N3"/>
    <mergeCell ref="O3:R3"/>
    <mergeCell ref="A3:A5"/>
    <mergeCell ref="T4:T5"/>
  </mergeCells>
  <phoneticPr fontId="25" type="noConversion"/>
  <dataValidations count="2">
    <dataValidation type="list" allowBlank="1" showInputMessage="1" showErrorMessage="1" sqref="B6:B81" xr:uid="{00000000-0002-0000-0000-000001000000}">
      <formula1>学校名称</formula1>
    </dataValidation>
    <dataValidation type="list" allowBlank="1" showInputMessage="1" showErrorMessage="1" sqref="S6:S81" xr:uid="{00000000-0002-0000-0000-000002000000}">
      <formula1>困难类型</formula1>
    </dataValidation>
  </dataValidations>
  <pageMargins left="0.25" right="0.25" top="0.75" bottom="0.75" header="0.3" footer="0.3"/>
  <pageSetup paperSize="9" orientation="landscape" horizontalDpi="2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workbookViewId="0">
      <selection activeCell="L19" sqref="L19"/>
    </sheetView>
  </sheetViews>
  <sheetFormatPr defaultColWidth="9" defaultRowHeight="13.5" x14ac:dyDescent="0.15"/>
  <cols>
    <col min="1" max="1" width="13.875" customWidth="1"/>
    <col min="2" max="15" width="7.125" customWidth="1"/>
  </cols>
  <sheetData>
    <row r="1" spans="1:16" ht="22.5" x14ac:dyDescent="0.15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6" s="2" customFormat="1" ht="76.5" customHeight="1" x14ac:dyDescent="0.15">
      <c r="A2" s="3" t="s">
        <v>8</v>
      </c>
      <c r="B2" s="3" t="s">
        <v>47</v>
      </c>
      <c r="C2" s="3" t="s">
        <v>43</v>
      </c>
      <c r="D2" s="3" t="s">
        <v>48</v>
      </c>
      <c r="E2" s="3" t="s">
        <v>49</v>
      </c>
      <c r="F2" s="3" t="s">
        <v>50</v>
      </c>
      <c r="G2" s="3" t="s">
        <v>51</v>
      </c>
      <c r="H2" s="3" t="s">
        <v>52</v>
      </c>
      <c r="I2" s="3" t="s">
        <v>53</v>
      </c>
      <c r="J2" s="3" t="s">
        <v>54</v>
      </c>
      <c r="K2" s="3" t="s">
        <v>55</v>
      </c>
      <c r="L2" s="3" t="s">
        <v>56</v>
      </c>
      <c r="M2" s="3" t="s">
        <v>57</v>
      </c>
      <c r="N2" s="3" t="s">
        <v>58</v>
      </c>
      <c r="O2" s="3" t="s">
        <v>59</v>
      </c>
      <c r="P2" s="3" t="s">
        <v>60</v>
      </c>
    </row>
    <row r="3" spans="1:16" ht="18" customHeight="1" x14ac:dyDescent="0.15">
      <c r="A3" s="4" t="s">
        <v>61</v>
      </c>
      <c r="B3" s="5">
        <f t="shared" ref="B3:B22" si="0">C3+D3+E3+F3+G3+H3+I3+J3+K3+L3+M3+N3+O3</f>
        <v>75</v>
      </c>
      <c r="C3" s="5">
        <f t="shared" ref="C3:O3" si="1">SUM(C4:C22)</f>
        <v>75</v>
      </c>
      <c r="D3" s="5">
        <f t="shared" si="1"/>
        <v>0</v>
      </c>
      <c r="E3" s="5">
        <f t="shared" si="1"/>
        <v>0</v>
      </c>
      <c r="F3" s="5">
        <f t="shared" si="1"/>
        <v>0</v>
      </c>
      <c r="G3" s="5">
        <f t="shared" si="1"/>
        <v>0</v>
      </c>
      <c r="H3" s="5">
        <f t="shared" si="1"/>
        <v>0</v>
      </c>
      <c r="I3" s="5">
        <f t="shared" si="1"/>
        <v>0</v>
      </c>
      <c r="J3" s="5">
        <f t="shared" si="1"/>
        <v>0</v>
      </c>
      <c r="K3" s="5">
        <f t="shared" si="1"/>
        <v>0</v>
      </c>
      <c r="L3" s="5">
        <f t="shared" si="1"/>
        <v>0</v>
      </c>
      <c r="M3" s="5">
        <f t="shared" si="1"/>
        <v>0</v>
      </c>
      <c r="N3" s="5">
        <f t="shared" si="1"/>
        <v>0</v>
      </c>
      <c r="O3" s="5">
        <f t="shared" si="1"/>
        <v>0</v>
      </c>
      <c r="P3" s="5">
        <f t="shared" ref="P3" si="2">SUM(P4:P22)</f>
        <v>0</v>
      </c>
    </row>
    <row r="4" spans="1:16" ht="18" customHeight="1" x14ac:dyDescent="0.15">
      <c r="A4" s="6" t="s">
        <v>62</v>
      </c>
      <c r="B4" s="7">
        <f t="shared" si="0"/>
        <v>8</v>
      </c>
      <c r="C4" s="7">
        <f>COUNTIFS(名单表!B6:B633,"夏理逊小学",名单表!S6:S633,"脱贫家庭学生")</f>
        <v>8</v>
      </c>
      <c r="D4" s="7">
        <f>COUNTIFS(名单表!B6:B633,"夏理逊小学",名单表!S6:S633,"脱贫不稳定家庭学生")</f>
        <v>0</v>
      </c>
      <c r="E4" s="7">
        <f>COUNTIFS(名单表!B6:B633,"夏理逊小学",名单表!S6:S633,"风险未消除家庭学生")</f>
        <v>0</v>
      </c>
      <c r="F4" s="7">
        <f>COUNTIFS(名单表!B6:B633,"夏理逊小学",名单表!S6:S633,"边缘易致贫家庭学生")</f>
        <v>0</v>
      </c>
      <c r="G4" s="7">
        <f>COUNTIFS(名单表!B6:B633,"夏理逊小学",名单表!S6:S633,"突发严重困难家庭学生")</f>
        <v>0</v>
      </c>
      <c r="H4" s="7">
        <f>COUNTIFS(名单表!B6:B633,"夏理逊小学",名单表!S6:S633,"城乡低保学生")</f>
        <v>0</v>
      </c>
      <c r="I4" s="7">
        <f>COUNTIFS(名单表!B6:B633,"夏理逊小学",名单表!S6:S633,"城乡低保家庭学生")</f>
        <v>0</v>
      </c>
      <c r="J4" s="7">
        <f>COUNTIFS(名单表!B6:B633,"夏理逊小学",名单表!S6:S633,"特困救助学生")</f>
        <v>0</v>
      </c>
      <c r="K4" s="7">
        <f>COUNTIFS(名单表!B6:B633,"夏理逊小学",名单表!S6:S633,"孤儿学生")</f>
        <v>0</v>
      </c>
      <c r="L4" s="7">
        <f>COUNTIFS(名单表!B6:B633,"夏理逊小学",名单表!S6:S633,"残疾学生")</f>
        <v>0</v>
      </c>
      <c r="M4" s="7">
        <f>COUNTIFS(名单表!B6:B633,"夏理逊小学",名单表!S6:S633,"残疾人子女学生")</f>
        <v>0</v>
      </c>
      <c r="N4" s="7">
        <f>COUNTIFS(名单表!B6:B633,"夏理逊小学",名单表!S6:S633,"事实无人抚养学生")</f>
        <v>0</v>
      </c>
      <c r="O4" s="7">
        <f>COUNTIFS(名单表!B6:B633,"夏理逊小学",名单表!S6:S633,"经济困难单亲家庭学生")</f>
        <v>0</v>
      </c>
      <c r="P4" s="7">
        <f>COUNTIFS(名单表!B6:B633,"夏理逊小学",名单表!S6:S633,"其他家庭经济困难")</f>
        <v>0</v>
      </c>
    </row>
    <row r="5" spans="1:16" ht="18" customHeight="1" x14ac:dyDescent="0.15">
      <c r="A5" s="6" t="s">
        <v>63</v>
      </c>
      <c r="B5" s="8">
        <f t="shared" si="0"/>
        <v>10</v>
      </c>
      <c r="C5" s="8">
        <f>COUNTIFS(名单表!B6:B633,"中山路第一小学",名单表!S6:S633,"脱贫家庭学生")</f>
        <v>10</v>
      </c>
      <c r="D5" s="8">
        <f>COUNTIFS(名单表!B6:B633,"中山路第一小学",名单表!S6:S633,"脱贫不稳定家庭学生")</f>
        <v>0</v>
      </c>
      <c r="E5" s="8">
        <f>COUNTIFS(名单表!B6:B633,"中山路第一小学",名单表!S6:S633,"风险未消除家庭学生")</f>
        <v>0</v>
      </c>
      <c r="F5" s="8">
        <f>COUNTIFS(名单表!B6:B633,"中山路第一小学",名单表!S6:S633,"边缘易致贫家庭学生")</f>
        <v>0</v>
      </c>
      <c r="G5" s="8">
        <f>COUNTIFS(名单表!B6:B633,"中山路第一小学",名单表!S6:S633,"突发严重困难家庭学生")</f>
        <v>0</v>
      </c>
      <c r="H5" s="8">
        <f>COUNTIFS(名单表!B6:B633,"中山路第一小学",名单表!S6:S633,"城乡低保学生")</f>
        <v>0</v>
      </c>
      <c r="I5" s="8">
        <f>COUNTIFS(名单表!B6:B633,"中山路第一小学",名单表!S6:S633,"城乡低保家庭学生")</f>
        <v>0</v>
      </c>
      <c r="J5" s="8">
        <f>COUNTIFS(名单表!B6:B633,"中山路第一小学",名单表!S6:S633,"特困救助学生")</f>
        <v>0</v>
      </c>
      <c r="K5" s="8">
        <f>COUNTIFS(名单表!B6:B633,"中山路第一小学",名单表!S6:S633,"孤儿学生")</f>
        <v>0</v>
      </c>
      <c r="L5" s="8">
        <f>COUNTIFS(名单表!B6:B633,"中山路第一小学",名单表!S6:S633,"残疾学生")</f>
        <v>0</v>
      </c>
      <c r="M5" s="8">
        <f>COUNTIFS(名单表!B6:B633,"中山路第一小学",名单表!S6:S633,"残疾人子女学生")</f>
        <v>0</v>
      </c>
      <c r="N5" s="8">
        <f>COUNTIFS(名单表!B6:B633,"中山路第一小学",名单表!S6:S633,"事实无人抚养学生")</f>
        <v>0</v>
      </c>
      <c r="O5" s="8">
        <f>COUNTIFS(名单表!B6:B633,"中山路第一小学",名单表!S6:S633,"经济困难单亲家庭学生")</f>
        <v>0</v>
      </c>
      <c r="P5" s="8">
        <f>COUNTIFS(名单表!B6:B633,"中山路第一小学",名单表!S6:S633,"其他家庭经济困难")</f>
        <v>0</v>
      </c>
    </row>
    <row r="6" spans="1:16" ht="18" customHeight="1" x14ac:dyDescent="0.15">
      <c r="A6" s="6" t="s">
        <v>64</v>
      </c>
      <c r="B6" s="7">
        <f t="shared" si="0"/>
        <v>8</v>
      </c>
      <c r="C6" s="7">
        <f>COUNTIFS(名单表!B6:B633,"开高附小",名单表!S6:S633,"脱贫家庭学生")</f>
        <v>8</v>
      </c>
      <c r="D6" s="7">
        <f>COUNTIFS(名单表!B6:B633,"开高附小",名单表!S6:S633,"脱贫不稳定家庭学生")</f>
        <v>0</v>
      </c>
      <c r="E6" s="7">
        <f>COUNTIFS(名单表!B6:B633,"开高附小",名单表!S6:S633,"风险未消除家庭学生")</f>
        <v>0</v>
      </c>
      <c r="F6" s="7">
        <f>COUNTIFS(名单表!B6:B633,"开高附小",名单表!S6:S633,"边缘易致贫家庭学生")</f>
        <v>0</v>
      </c>
      <c r="G6" s="7">
        <f>COUNTIFS(名单表!B6:B633,"开高附小",名单表!S6:S633,"突发严重困难家庭学生")</f>
        <v>0</v>
      </c>
      <c r="H6" s="7">
        <f>COUNTIFS(名单表!B6:B633,"开高附小",名单表!S6:S633,"城乡低保学生")</f>
        <v>0</v>
      </c>
      <c r="I6" s="7">
        <f>COUNTIFS(名单表!B6:B633,"开高附小",名单表!S6:S633,"城乡低保家庭学生")</f>
        <v>0</v>
      </c>
      <c r="J6" s="7">
        <f>COUNTIFS(名单表!B6:B633,"开高附小",名单表!S6:S633,"特困救助学生")</f>
        <v>0</v>
      </c>
      <c r="K6" s="7">
        <f>COUNTIFS(名单表!B6:B633,"开高附小",名单表!S6:S633,"孤儿学生")</f>
        <v>0</v>
      </c>
      <c r="L6" s="7">
        <f>COUNTIFS(名单表!B6:B633,"开高附小",名单表!S6:S633,"残疾学生")</f>
        <v>0</v>
      </c>
      <c r="M6" s="7">
        <f>COUNTIFS(名单表!B6:B633,"开高附小",名单表!S6:S633,"残疾人子女学生")</f>
        <v>0</v>
      </c>
      <c r="N6" s="7">
        <f>COUNTIFS(名单表!B6:B633,"开高附小",名单表!S6:S633,"事实无人抚养学生")</f>
        <v>0</v>
      </c>
      <c r="O6" s="7">
        <f>COUNTIFS(名单表!B6:B633,"开高附小",名单表!S6:S633,"经济困难单亲家庭学生")</f>
        <v>0</v>
      </c>
      <c r="P6" s="7">
        <f>COUNTIFS(名单表!B6:B633,"开高附小",名单表!S6:S633,"其他家庭经济困难")</f>
        <v>0</v>
      </c>
    </row>
    <row r="7" spans="1:16" ht="18" customHeight="1" x14ac:dyDescent="0.15">
      <c r="A7" s="6" t="s">
        <v>65</v>
      </c>
      <c r="B7" s="8">
        <f t="shared" si="0"/>
        <v>16</v>
      </c>
      <c r="C7" s="8">
        <f>COUNTIFS(名单表!B6:B633,"五一路一小",名单表!S6:S633,"脱贫家庭学生")</f>
        <v>16</v>
      </c>
      <c r="D7" s="8">
        <f>COUNTIFS(名单表!B6:B633,"五一路一小",名单表!S6:S633,"脱贫不稳定家庭学生")</f>
        <v>0</v>
      </c>
      <c r="E7" s="8">
        <f>COUNTIFS(名单表!B6:B633,"五一路一小",名单表!S6:S633,"风险未消除家庭学生")</f>
        <v>0</v>
      </c>
      <c r="F7" s="8">
        <f>COUNTIFS(名单表!B6:B633,"五一路一小",名单表!S6:S633,"边缘易致贫家庭学生")</f>
        <v>0</v>
      </c>
      <c r="G7" s="8">
        <f>COUNTIFS(名单表!B6:B633,"五一路一小",名单表!S6:S633,"突发严重困难家庭学生")</f>
        <v>0</v>
      </c>
      <c r="H7" s="8">
        <f>COUNTIFS(名单表!B6:B633,"五一路一小",名单表!S6:S633,"城乡低保学生")</f>
        <v>0</v>
      </c>
      <c r="I7" s="8">
        <f>COUNTIFS(名单表!B6:B633,"五一路一小",名单表!S6:S633,"城乡低保家庭学生")</f>
        <v>0</v>
      </c>
      <c r="J7" s="8">
        <f>COUNTIFS(名单表!B6:B633,"五一路一小",名单表!S6:S633,"特困救助学生")</f>
        <v>0</v>
      </c>
      <c r="K7" s="8">
        <f>COUNTIFS(名单表!B6:B633,"五一路一小",名单表!S6:S633,"孤儿学生")</f>
        <v>0</v>
      </c>
      <c r="L7" s="8">
        <f>COUNTIFS(名单表!B6:B633,"五一路一小",名单表!S6:S633,"残疾学生")</f>
        <v>0</v>
      </c>
      <c r="M7" s="8">
        <f>COUNTIFS(名单表!B6:B633,"五一路一小",名单表!S6:S633,"残疾人子女学生")</f>
        <v>0</v>
      </c>
      <c r="N7" s="8">
        <f>COUNTIFS(名单表!B6:B633,"五一路一小",名单表!S6:S633,"事实无人抚养学生")</f>
        <v>0</v>
      </c>
      <c r="O7" s="8">
        <f>COUNTIFS(名单表!B6:B633,"五一路一小",名单表!S6:S633,"经济困难单亲家庭学生")</f>
        <v>0</v>
      </c>
      <c r="P7" s="8">
        <f>COUNTIFS(名单表!B6:B633,"五一路一小",名单表!S6:S633,"其他家庭经济困难")</f>
        <v>0</v>
      </c>
    </row>
    <row r="8" spans="1:16" ht="18" customHeight="1" x14ac:dyDescent="0.15">
      <c r="A8" s="6" t="s">
        <v>66</v>
      </c>
      <c r="B8" s="7">
        <f t="shared" si="0"/>
        <v>7</v>
      </c>
      <c r="C8" s="7">
        <f>COUNTIFS(名单表!B6:B633,"禹王台小学",名单表!S6:S633,"脱贫家庭学生")</f>
        <v>7</v>
      </c>
      <c r="D8" s="7">
        <f>COUNTIFS(名单表!B6:B633,"禹王台小学",名单表!S6:S633,"脱贫不稳定家庭学生")</f>
        <v>0</v>
      </c>
      <c r="E8" s="7">
        <f>COUNTIFS(名单表!B6:B633,"禹王台小学",名单表!S6:S633,"风险未消除家庭学生")</f>
        <v>0</v>
      </c>
      <c r="F8" s="7">
        <f>COUNTIFS(名单表!B6:B633,"禹王台小学",名单表!S6:S633,"边缘易致贫家庭学生")</f>
        <v>0</v>
      </c>
      <c r="G8" s="7">
        <f>COUNTIFS(名单表!B6:B633,"禹王台小学",名单表!S6:S633,"突发严重困难家庭学生")</f>
        <v>0</v>
      </c>
      <c r="H8" s="7">
        <f>COUNTIFS(名单表!B6:B633,"禹王台小学",名单表!S6:S633,"城乡低保学生")</f>
        <v>0</v>
      </c>
      <c r="I8" s="7">
        <f>COUNTIFS(名单表!B6:B633,"禹王台小学",名单表!S6:S633,"城乡低保家庭学生")</f>
        <v>0</v>
      </c>
      <c r="J8" s="7">
        <f>COUNTIFS(名单表!B6:B633,"禹王台小学",名单表!S6:S633,"特困救助学生")</f>
        <v>0</v>
      </c>
      <c r="K8" s="7">
        <f>COUNTIFS(名单表!B6:B633,"禹王台小学",名单表!S6:S633,"孤儿学生")</f>
        <v>0</v>
      </c>
      <c r="L8" s="7">
        <f>COUNTIFS(名单表!B6:B633,"禹王台小学",名单表!S6:S633,"残疾学生")</f>
        <v>0</v>
      </c>
      <c r="M8" s="7">
        <f>COUNTIFS(名单表!B6:B633,"禹王台小学",名单表!S6:S633,"残疾人子女学生")</f>
        <v>0</v>
      </c>
      <c r="N8" s="7">
        <f>COUNTIFS(名单表!B6:B633,"禹王台小学",名单表!S6:S633,"事实无人抚养学生")</f>
        <v>0</v>
      </c>
      <c r="O8" s="7">
        <f>COUNTIFS(名单表!B6:B633,"禹王台小学",名单表!S6:S633,"经济困难单亲家庭学生")</f>
        <v>0</v>
      </c>
      <c r="P8" s="7">
        <f>COUNTIFS(名单表!B6:B633,"禹王台小学",名单表!S6:S633,"其他家庭经济困难")</f>
        <v>0</v>
      </c>
    </row>
    <row r="9" spans="1:16" ht="18" customHeight="1" x14ac:dyDescent="0.15">
      <c r="A9" s="6" t="s">
        <v>40</v>
      </c>
      <c r="B9" s="8">
        <f t="shared" si="0"/>
        <v>3</v>
      </c>
      <c r="C9" s="8">
        <f>COUNTIFS(名单表!B6:B633,"扶轮小学",名单表!S6:S633,"脱贫家庭学生")</f>
        <v>3</v>
      </c>
      <c r="D9" s="8">
        <f>COUNTIFS(名单表!B6:B633,"扶轮小学",名单表!S6:S633,"脱贫不稳定家庭学生")</f>
        <v>0</v>
      </c>
      <c r="E9" s="8">
        <f>COUNTIFS(名单表!B6:B633,"扶轮小学",名单表!S6:S633,"风险未消除家庭学生")</f>
        <v>0</v>
      </c>
      <c r="F9" s="8">
        <f>COUNTIFS(名单表!B6:B633,"扶轮小学",名单表!S6:S633,"边缘易致贫家庭学生")</f>
        <v>0</v>
      </c>
      <c r="G9" s="8">
        <f>COUNTIFS(名单表!B6:B633,"扶轮小学",名单表!S6:S633,"突发严重困难家庭学生")</f>
        <v>0</v>
      </c>
      <c r="H9" s="8">
        <f>COUNTIFS(名单表!B6:B633,"扶轮小学",名单表!S6:S633,"城乡低保学生")</f>
        <v>0</v>
      </c>
      <c r="I9" s="8">
        <f>COUNTIFS(名单表!B6:B633,"扶轮小学",名单表!S6:S633,"城乡低保家庭学生")</f>
        <v>0</v>
      </c>
      <c r="J9" s="8">
        <f>COUNTIFS(名单表!B6:B633,"扶轮小学",名单表!S6:S633,"特困救助学生")</f>
        <v>0</v>
      </c>
      <c r="K9" s="8">
        <f>COUNTIFS(名单表!B6:B633,"扶轮小学",名单表!S6:S633,"孤儿学生")</f>
        <v>0</v>
      </c>
      <c r="L9" s="8">
        <f>COUNTIFS(名单表!B6:B633,"扶轮小学",名单表!S6:S633,"残疾学生")</f>
        <v>0</v>
      </c>
      <c r="M9" s="8">
        <f>COUNTIFS(名单表!B6:B633,"扶轮小学",名单表!S6:S633,"残疾人子女学生")</f>
        <v>0</v>
      </c>
      <c r="N9" s="8">
        <f>COUNTIFS(名单表!B6:B633,"扶轮小学",名单表!S6:S633,"事实无人抚养学生")</f>
        <v>0</v>
      </c>
      <c r="O9" s="8">
        <f>COUNTIFS(名单表!B6:B633,"扶轮小学",名单表!S6:S633,"经济困难单亲家庭学生")</f>
        <v>0</v>
      </c>
      <c r="P9" s="8">
        <f>COUNTIFS(名单表!B6:B633,"扶轮小学",名单表!S6:S633,"其他家庭经济困难")</f>
        <v>0</v>
      </c>
    </row>
    <row r="10" spans="1:16" ht="18" customHeight="1" x14ac:dyDescent="0.15">
      <c r="A10" s="6" t="s">
        <v>67</v>
      </c>
      <c r="B10" s="7">
        <f t="shared" si="0"/>
        <v>4</v>
      </c>
      <c r="C10" s="7">
        <f>COUNTIFS(名单表!B6:B633,"伞塔小学",名单表!S6:S633,"脱贫家庭学生")</f>
        <v>4</v>
      </c>
      <c r="D10" s="7">
        <f>COUNTIFS(名单表!B6:B633,"伞塔小学",名单表!S6:S633,"脱贫不稳定家庭学生")</f>
        <v>0</v>
      </c>
      <c r="E10" s="7">
        <f>COUNTIFS(名单表!B6:B633,"伞塔小学",名单表!S6:S633,"风险未消除家庭学生")</f>
        <v>0</v>
      </c>
      <c r="F10" s="7">
        <f>COUNTIFS(名单表!B6:B633,"伞塔小学",名单表!S6:S633,"边缘易致贫家庭学生")</f>
        <v>0</v>
      </c>
      <c r="G10" s="7">
        <f>COUNTIFS(名单表!B6:B633,"伞塔小学",名单表!S6:S633,"突发严重困难家庭学生")</f>
        <v>0</v>
      </c>
      <c r="H10" s="7">
        <f>COUNTIFS(名单表!B6:B633,"伞塔小学",名单表!S6:S633,"城乡低保学生")</f>
        <v>0</v>
      </c>
      <c r="I10" s="7">
        <f>COUNTIFS(名单表!B6:B633,"伞塔小学",名单表!S6:S633,"城乡低保家庭学生")</f>
        <v>0</v>
      </c>
      <c r="J10" s="7">
        <f>COUNTIFS(名单表!B6:B633,"伞塔小学",名单表!S6:S633,"特困救助学生")</f>
        <v>0</v>
      </c>
      <c r="K10" s="7">
        <f>COUNTIFS(名单表!B6:B633,"伞塔小学",名单表!S6:S633,"孤儿学生")</f>
        <v>0</v>
      </c>
      <c r="L10" s="7">
        <f>COUNTIFS(名单表!B6:B633,"伞塔小学",名单表!S6:S633,"残疾学生")</f>
        <v>0</v>
      </c>
      <c r="M10" s="7">
        <f>COUNTIFS(名单表!B6:B633,"伞塔小学",名单表!S6:S633,"残疾人子女学生")</f>
        <v>0</v>
      </c>
      <c r="N10" s="7">
        <f>COUNTIFS(名单表!B6:B633,"伞塔小学",名单表!S6:S633,"事实无人抚养学生")</f>
        <v>0</v>
      </c>
      <c r="O10" s="7">
        <f>COUNTIFS(名单表!B6:B633,"伞塔小学",名单表!S6:S633,"经济困难单亲家庭学生")</f>
        <v>0</v>
      </c>
      <c r="P10" s="7">
        <f>COUNTIFS(名单表!B6:B633,"伞塔小学",名单表!S6:S633,"其他家庭经济困难")</f>
        <v>0</v>
      </c>
    </row>
    <row r="11" spans="1:16" ht="18" customHeight="1" x14ac:dyDescent="0.15">
      <c r="A11" s="6" t="s">
        <v>68</v>
      </c>
      <c r="B11" s="8">
        <f t="shared" si="0"/>
        <v>0</v>
      </c>
      <c r="C11" s="8">
        <f>COUNTIFS(名单表!B6:B633,"华夏小学",名单表!S6:S633,"脱贫家庭学生")</f>
        <v>0</v>
      </c>
      <c r="D11" s="8">
        <f>COUNTIFS(名单表!B6:B633,"华夏小学",名单表!S6:S633,"脱贫不稳定家庭学生")</f>
        <v>0</v>
      </c>
      <c r="E11" s="8">
        <f>COUNTIFS(名单表!B6:B633,"华夏小学",名单表!S6:S633,"风险未消除家庭学生")</f>
        <v>0</v>
      </c>
      <c r="F11" s="8">
        <f>COUNTIFS(名单表!B6:B633,"华夏小学",名单表!S6:S633,"边缘易致贫家庭学生")</f>
        <v>0</v>
      </c>
      <c r="G11" s="8">
        <f>COUNTIFS(名单表!B6:B633,"华夏小学",名单表!S6:S633,"突发严重困难家庭学生")</f>
        <v>0</v>
      </c>
      <c r="H11" s="8">
        <f>COUNTIFS(名单表!B6:B633,"华夏小学",名单表!S6:S633,"城乡低保学生")</f>
        <v>0</v>
      </c>
      <c r="I11" s="8">
        <f>COUNTIFS(名单表!B6:B633,"华夏小学",名单表!S6:S633,"城乡低保家庭学生")</f>
        <v>0</v>
      </c>
      <c r="J11" s="8">
        <f>COUNTIFS(名单表!B6:B633,"华夏小学",名单表!S6:S633,"特困救助学生")</f>
        <v>0</v>
      </c>
      <c r="K11" s="8">
        <f>COUNTIFS(名单表!B6:B633,"华夏小学",名单表!S6:S633,"孤儿学生")</f>
        <v>0</v>
      </c>
      <c r="L11" s="8">
        <f>COUNTIFS(名单表!B6:B633,"华夏小学",名单表!S6:S633,"残疾学生")</f>
        <v>0</v>
      </c>
      <c r="M11" s="8">
        <f>COUNTIFS(名单表!B6:B633,"华夏小学",名单表!S6:S633,"残疾人子女学生")</f>
        <v>0</v>
      </c>
      <c r="N11" s="8">
        <f>COUNTIFS(名单表!B6:B633,"华夏小学",名单表!S6:S633,"事实无人抚养学生")</f>
        <v>0</v>
      </c>
      <c r="O11" s="8">
        <f>COUNTIFS(名单表!B6:B633,"华夏小学",名单表!S6:S633,"经济困难单亲家庭学生")</f>
        <v>0</v>
      </c>
      <c r="P11" s="8">
        <f>COUNTIFS(名单表!B6:B633,"华夏小学",名单表!S6:S633,"其他家庭经济困难")</f>
        <v>0</v>
      </c>
    </row>
    <row r="12" spans="1:16" ht="18" customHeight="1" x14ac:dyDescent="0.15">
      <c r="A12" s="6" t="s">
        <v>69</v>
      </c>
      <c r="B12" s="7">
        <f t="shared" si="0"/>
        <v>0</v>
      </c>
      <c r="C12" s="7">
        <f>COUNTIFS(名单表!B6:B633,"杨庄小学",名单表!S6:S633,"脱贫家庭学生")</f>
        <v>0</v>
      </c>
      <c r="D12" s="7">
        <f>COUNTIFS(名单表!B6:B633,"杨庄小学",名单表!S6:S633,"脱贫不稳定家庭学生")</f>
        <v>0</v>
      </c>
      <c r="E12" s="7">
        <f>COUNTIFS(名单表!B6:B633,"杨庄小学",名单表!S6:S633,"风险未消除家庭学生")</f>
        <v>0</v>
      </c>
      <c r="F12" s="7">
        <f>COUNTIFS(名单表!B6:B633,"杨庄小学",名单表!S6:S633,"边缘易致贫家庭学生")</f>
        <v>0</v>
      </c>
      <c r="G12" s="7">
        <f>COUNTIFS(名单表!B6:B633,"杨庄小学",名单表!S6:S633,"突发严重困难家庭学生")</f>
        <v>0</v>
      </c>
      <c r="H12" s="7">
        <f>COUNTIFS(名单表!B6:B633,"杨庄小学",名单表!S6:S633,"城乡低保学生")</f>
        <v>0</v>
      </c>
      <c r="I12" s="7">
        <f>COUNTIFS(名单表!B6:B633,"杨庄小学",名单表!S6:S633,"城乡低保家庭学生")</f>
        <v>0</v>
      </c>
      <c r="J12" s="7">
        <f>COUNTIFS(名单表!B6:B633,"杨庄小学",名单表!S6:S633,"特困救助学生")</f>
        <v>0</v>
      </c>
      <c r="K12" s="7">
        <f>COUNTIFS(名单表!B6:B633,"杨庄小学",名单表!S6:S633,"孤儿学生")</f>
        <v>0</v>
      </c>
      <c r="L12" s="7">
        <f>COUNTIFS(名单表!B6:B633,"杨庄小学",名单表!S6:S633,"残疾学生")</f>
        <v>0</v>
      </c>
      <c r="M12" s="7">
        <f>COUNTIFS(名单表!B6:B633,"杨庄小学",名单表!S6:S633,"残疾人子女学生")</f>
        <v>0</v>
      </c>
      <c r="N12" s="7">
        <f>COUNTIFS(名单表!B6:B633,"杨庄小学",名单表!S6:S633,"事实无人抚养学生")</f>
        <v>0</v>
      </c>
      <c r="O12" s="7">
        <f>COUNTIFS(名单表!B6:B633,"杨庄小学",名单表!S6:S633,"经济困难单亲家庭学生")</f>
        <v>0</v>
      </c>
      <c r="P12" s="7">
        <f>COUNTIFS(名单表!B6:B633,"杨庄小学",名单表!S6:S633,"其他家庭经济困难")</f>
        <v>0</v>
      </c>
    </row>
    <row r="13" spans="1:16" ht="18" customHeight="1" x14ac:dyDescent="0.15">
      <c r="A13" s="6" t="s">
        <v>70</v>
      </c>
      <c r="B13" s="8">
        <f t="shared" si="0"/>
        <v>0</v>
      </c>
      <c r="C13" s="8">
        <f>COUNTIFS(名单表!B6:B633,"西柳林小学",名单表!S6:S633,"脱贫家庭学生")</f>
        <v>0</v>
      </c>
      <c r="D13" s="8">
        <f>COUNTIFS(名单表!B6:B633,"西柳林小学",名单表!S6:S633,"脱贫不稳定家庭学生")</f>
        <v>0</v>
      </c>
      <c r="E13" s="8">
        <f>COUNTIFS(名单表!B6:B633,"西柳林小学",名单表!S6:S633,"风险未消除家庭学生")</f>
        <v>0</v>
      </c>
      <c r="F13" s="8">
        <f>COUNTIFS(名单表!B6:B633,"西柳林小学",名单表!S6:S633,"边缘易致贫家庭学生")</f>
        <v>0</v>
      </c>
      <c r="G13" s="8">
        <f>COUNTIFS(名单表!B6:B633,"西柳林小学",名单表!S6:S633,"突发严重困难家庭学生")</f>
        <v>0</v>
      </c>
      <c r="H13" s="8">
        <f>COUNTIFS(名单表!B6:B633,"西柳林小学",名单表!S6:S633,"城乡低保学生")</f>
        <v>0</v>
      </c>
      <c r="I13" s="8">
        <f>COUNTIFS(名单表!B6:B633,"西柳林小学",名单表!S6:S633,"城乡低保家庭学生")</f>
        <v>0</v>
      </c>
      <c r="J13" s="8">
        <f>COUNTIFS(名单表!B6:B633,"西柳林小学",名单表!S6:S633,"特困救助学生")</f>
        <v>0</v>
      </c>
      <c r="K13" s="8">
        <f>COUNTIFS(名单表!B6:B633,"西柳林小学",名单表!S6:S633,"孤儿学生")</f>
        <v>0</v>
      </c>
      <c r="L13" s="8">
        <f>COUNTIFS(名单表!B6:B633,"西柳林小学",名单表!S6:S633,"残疾学生")</f>
        <v>0</v>
      </c>
      <c r="M13" s="8">
        <f>COUNTIFS(名单表!B6:B633,"西柳林小学",名单表!S6:S633,"残疾人子女学生")</f>
        <v>0</v>
      </c>
      <c r="N13" s="8">
        <f>COUNTIFS(名单表!B6:B633,"西柳林小学",名单表!S6:S633,"事实无人抚养学生")</f>
        <v>0</v>
      </c>
      <c r="O13" s="8">
        <f>COUNTIFS(名单表!B6:B633,"西柳林小学",名单表!S6:S633,"经济困难单亲家庭学生")</f>
        <v>0</v>
      </c>
      <c r="P13" s="8">
        <f>COUNTIFS(名单表!B6:B633,"西柳林小学",名单表!S6:S633,"其他家庭经济困难")</f>
        <v>0</v>
      </c>
    </row>
    <row r="14" spans="1:16" ht="18" customHeight="1" x14ac:dyDescent="0.15">
      <c r="A14" s="6" t="s">
        <v>71</v>
      </c>
      <c r="B14" s="7">
        <f t="shared" si="0"/>
        <v>1</v>
      </c>
      <c r="C14" s="7">
        <f>COUNTIFS(名单表!B6:B633,"松楼小学",名单表!S6:S633,"脱贫家庭学生")</f>
        <v>1</v>
      </c>
      <c r="D14" s="7">
        <f>COUNTIFS(名单表!B6:B633,"松楼小学",名单表!S6:S633,"脱贫不稳定家庭学生")</f>
        <v>0</v>
      </c>
      <c r="E14" s="7">
        <f>COUNTIFS(名单表!B6:B633,"松楼小学",名单表!S6:S633,"风险未消除家庭学生")</f>
        <v>0</v>
      </c>
      <c r="F14" s="7">
        <f>COUNTIFS(名单表!B6:B633,"松楼小学",名单表!S6:S633,"边缘易致贫家庭学生")</f>
        <v>0</v>
      </c>
      <c r="G14" s="7">
        <f>COUNTIFS(名单表!B6:B633,"松楼小学",名单表!S6:S633,"突发严重困难家庭学生")</f>
        <v>0</v>
      </c>
      <c r="H14" s="7">
        <f>COUNTIFS(名单表!B6:B633,"松楼小学",名单表!S6:S633,"城乡低保学生")</f>
        <v>0</v>
      </c>
      <c r="I14" s="7">
        <f>COUNTIFS(名单表!B6:B633,"松楼小学",名单表!S6:S633,"城乡低保家庭学生")</f>
        <v>0</v>
      </c>
      <c r="J14" s="7">
        <f>COUNTIFS(名单表!B6:B633,"松楼小学",名单表!S6:S633,"特困救助学生")</f>
        <v>0</v>
      </c>
      <c r="K14" s="7">
        <f>COUNTIFS(名单表!B6:B633,"松楼小学",名单表!S6:S633,"孤儿学生")</f>
        <v>0</v>
      </c>
      <c r="L14" s="7">
        <f>COUNTIFS(名单表!B6:B633,"松楼小学",名单表!S6:S633,"残疾学生")</f>
        <v>0</v>
      </c>
      <c r="M14" s="7">
        <f>COUNTIFS(名单表!B6:B633,"松楼小学",名单表!S6:S633,"残疾人子女学生")</f>
        <v>0</v>
      </c>
      <c r="N14" s="7">
        <f>COUNTIFS(名单表!B6:B633,"松楼小学",名单表!S6:S633,"事实无人抚养学生")</f>
        <v>0</v>
      </c>
      <c r="O14" s="7">
        <f>COUNTIFS(名单表!B6:B633,"松楼小学",名单表!S6:S633,"经济困难单亲家庭学生")</f>
        <v>0</v>
      </c>
      <c r="P14" s="7">
        <f>COUNTIFS(名单表!B6:B633,"松楼小学",名单表!S6:S633,"其他家庭经济困难")</f>
        <v>0</v>
      </c>
    </row>
    <row r="15" spans="1:16" ht="18" customHeight="1" x14ac:dyDescent="0.15">
      <c r="A15" s="6" t="s">
        <v>72</v>
      </c>
      <c r="B15" s="8">
        <f t="shared" si="0"/>
        <v>0</v>
      </c>
      <c r="C15" s="8">
        <f>COUNTIFS(名单表!B6:B633,"群力小学",名单表!S6:S633,"脱贫家庭学生")</f>
        <v>0</v>
      </c>
      <c r="D15" s="8">
        <f>COUNTIFS(名单表!B6:B633,"群力小学",名单表!S6:S633,"脱贫不稳定家庭学生")</f>
        <v>0</v>
      </c>
      <c r="E15" s="8">
        <f>COUNTIFS(名单表!B6:B633,"群力小学",名单表!S6:S633,"风险未消除家庭学生")</f>
        <v>0</v>
      </c>
      <c r="F15" s="8">
        <f>COUNTIFS(名单表!B6:B633,"群力小学",名单表!S6:S633,"边缘易致贫家庭学生")</f>
        <v>0</v>
      </c>
      <c r="G15" s="8">
        <f>COUNTIFS(名单表!B6:B633,"群力小学",名单表!S6:S633,"突发严重困难家庭学生")</f>
        <v>0</v>
      </c>
      <c r="H15" s="8">
        <f>COUNTIFS(名单表!B6:B633,"群力小学",名单表!S6:S633,"城乡低保学生")</f>
        <v>0</v>
      </c>
      <c r="I15" s="8">
        <f>COUNTIFS(名单表!B6:B633,"群力小学",名单表!S6:S633,"城乡低保家庭学生")</f>
        <v>0</v>
      </c>
      <c r="J15" s="8">
        <f>COUNTIFS(名单表!B6:B633,"群力小学",名单表!S6:S633,"特困救助学生")</f>
        <v>0</v>
      </c>
      <c r="K15" s="8">
        <f>COUNTIFS(名单表!B6:B633,"群力小学",名单表!S6:S633,"孤儿学生")</f>
        <v>0</v>
      </c>
      <c r="L15" s="8">
        <f>COUNTIFS(名单表!B6:B633,"群力小学",名单表!S6:S633,"残疾学生")</f>
        <v>0</v>
      </c>
      <c r="M15" s="8">
        <f>COUNTIFS(名单表!B6:B633,"群力小学",名单表!S6:S633,"残疾人子女学生")</f>
        <v>0</v>
      </c>
      <c r="N15" s="8">
        <f>COUNTIFS(名单表!B6:B633,"群力小学",名单表!S6:S633,"事实无人抚养学生")</f>
        <v>0</v>
      </c>
      <c r="O15" s="8">
        <f>COUNTIFS(名单表!B6:B633,"群力小学",名单表!S6:S633,"经济困难单亲家庭学生")</f>
        <v>0</v>
      </c>
      <c r="P15" s="8">
        <f>COUNTIFS(名单表!B6:B633,"群力小学",名单表!S6:S633,"其他家庭经济困难")</f>
        <v>0</v>
      </c>
    </row>
    <row r="16" spans="1:16" ht="18" customHeight="1" x14ac:dyDescent="0.15">
      <c r="A16" s="6" t="s">
        <v>73</v>
      </c>
      <c r="B16" s="7">
        <f t="shared" si="0"/>
        <v>2</v>
      </c>
      <c r="C16" s="7">
        <f>COUNTIFS(名单表!B6:B633,"高楼小学",名单表!S6:S633,"脱贫家庭学生")</f>
        <v>2</v>
      </c>
      <c r="D16" s="7">
        <f>COUNTIFS(名单表!B6:B633,"高楼小学",名单表!S6:S633,"脱贫不稳定家庭学生")</f>
        <v>0</v>
      </c>
      <c r="E16" s="7">
        <f>COUNTIFS(名单表!B6:B633,"高楼小学",名单表!S6:S633,"风险未消除家庭学生")</f>
        <v>0</v>
      </c>
      <c r="F16" s="7">
        <f>COUNTIFS(名单表!B6:B633,"高楼小学",名单表!S6:S633,"边缘易致贫家庭学生")</f>
        <v>0</v>
      </c>
      <c r="G16" s="7">
        <f>COUNTIFS(名单表!B6:B633,"高楼小学",名单表!S6:S633,"突发严重困难家庭学生")</f>
        <v>0</v>
      </c>
      <c r="H16" s="7">
        <f>COUNTIFS(名单表!B6:B633,"高楼小学",名单表!S6:S633,"城乡低保学生")</f>
        <v>0</v>
      </c>
      <c r="I16" s="7">
        <f>COUNTIFS(名单表!B6:B633,"高楼小学",名单表!S6:S633,"城乡低保家庭学生")</f>
        <v>0</v>
      </c>
      <c r="J16" s="7">
        <f>COUNTIFS(名单表!B6:B633,"高楼小学",名单表!S6:S633,"特困救助学生")</f>
        <v>0</v>
      </c>
      <c r="K16" s="7">
        <f>COUNTIFS(名单表!B6:B633,"高楼小学",名单表!S6:S633,"孤儿学生")</f>
        <v>0</v>
      </c>
      <c r="L16" s="7">
        <f>COUNTIFS(名单表!B6:B633,"高楼小学",名单表!S6:S633,"残疾学生")</f>
        <v>0</v>
      </c>
      <c r="M16" s="7">
        <f>COUNTIFS(名单表!B6:B633,"高楼小学",名单表!S6:S633,"残疾人子女学生")</f>
        <v>0</v>
      </c>
      <c r="N16" s="7">
        <f>COUNTIFS(名单表!B6:B633,"高楼小学",名单表!S6:S633,"事实无人抚养学生")</f>
        <v>0</v>
      </c>
      <c r="O16" s="7">
        <f>COUNTIFS(名单表!B6:B633,"高楼小学",名单表!S6:S633,"经济困难单亲家庭学生")</f>
        <v>0</v>
      </c>
      <c r="P16" s="7">
        <f>COUNTIFS(名单表!B6:B633,"高楼小学",名单表!S6:S633,"其他家庭经济困难")</f>
        <v>0</v>
      </c>
    </row>
    <row r="17" spans="1:16" ht="18" customHeight="1" x14ac:dyDescent="0.15">
      <c r="A17" s="6" t="s">
        <v>74</v>
      </c>
      <c r="B17" s="8">
        <f t="shared" si="0"/>
        <v>0</v>
      </c>
      <c r="C17" s="8">
        <f>COUNTIFS(名单表!B6:B633,"汪屯小学",名单表!S6:S633,"脱贫家庭学生")</f>
        <v>0</v>
      </c>
      <c r="D17" s="8">
        <f>COUNTIFS(名单表!B6:B633,"汪屯小学",名单表!S6:S633,"脱贫不稳定家庭学生")</f>
        <v>0</v>
      </c>
      <c r="E17" s="8">
        <f>COUNTIFS(名单表!B6:B633,"汪屯小学",名单表!S6:S633,"风险未消除家庭学生")</f>
        <v>0</v>
      </c>
      <c r="F17" s="8">
        <f>COUNTIFS(名单表!B6:B633,"汪屯小学",名单表!S6:S633,"边缘易致贫家庭学生")</f>
        <v>0</v>
      </c>
      <c r="G17" s="8">
        <f>COUNTIFS(名单表!B6:B633,"汪屯小学",名单表!S6:S633,"突发严重困难家庭学生")</f>
        <v>0</v>
      </c>
      <c r="H17" s="8">
        <f>COUNTIFS(名单表!B6:B633,"汪屯小学",名单表!S6:S633,"城乡低保学生")</f>
        <v>0</v>
      </c>
      <c r="I17" s="8">
        <f>COUNTIFS(名单表!B6:B633,"汪屯小学",名单表!S6:S633,"城乡低保家庭学生")</f>
        <v>0</v>
      </c>
      <c r="J17" s="8">
        <f>COUNTIFS(名单表!B6:B633,"汪屯小学",名单表!S6:S633,"特困救助学生")</f>
        <v>0</v>
      </c>
      <c r="K17" s="8">
        <f>COUNTIFS(名单表!B6:B633,"汪屯小学",名单表!S6:S633,"孤儿学生")</f>
        <v>0</v>
      </c>
      <c r="L17" s="8">
        <f>COUNTIFS(名单表!B6:B633,"汪屯小学",名单表!S6:S633,"残疾学生")</f>
        <v>0</v>
      </c>
      <c r="M17" s="8">
        <f>COUNTIFS(名单表!B6:B633,"汪屯小学",名单表!S6:S633,"残疾人子女学生")</f>
        <v>0</v>
      </c>
      <c r="N17" s="8">
        <f>COUNTIFS(名单表!B6:B633,"汪屯小学",名单表!S6:S633,"事实无人抚养学生")</f>
        <v>0</v>
      </c>
      <c r="O17" s="8">
        <f>COUNTIFS(名单表!B6:B633,"汪屯小学",名单表!S6:S633,"经济困难单亲家庭学生")</f>
        <v>0</v>
      </c>
      <c r="P17" s="8">
        <f>COUNTIFS(名单表!B6:B633,"汪屯小学",名单表!S6:S633,"其他家庭经济困难")</f>
        <v>0</v>
      </c>
    </row>
    <row r="18" spans="1:16" ht="18" customHeight="1" x14ac:dyDescent="0.15">
      <c r="A18" s="6" t="s">
        <v>75</v>
      </c>
      <c r="B18" s="7">
        <f t="shared" si="0"/>
        <v>3</v>
      </c>
      <c r="C18" s="7">
        <f>COUNTIFS(名单表!B6:B633,"苏村小学",名单表!S6:S633,"脱贫家庭学生")</f>
        <v>3</v>
      </c>
      <c r="D18" s="7">
        <f>COUNTIFS(名单表!B6:B633,"苏村小学",名单表!S6:S633,"脱贫不稳定家庭学生")</f>
        <v>0</v>
      </c>
      <c r="E18" s="7">
        <f>COUNTIFS(名单表!B6:B633,"苏村小学",名单表!S6:S633,"风险未消除家庭学生")</f>
        <v>0</v>
      </c>
      <c r="F18" s="7">
        <f>COUNTIFS(名单表!B6:B633,"苏村小学",名单表!S6:S633,"边缘易致贫家庭学生")</f>
        <v>0</v>
      </c>
      <c r="G18" s="7">
        <f>COUNTIFS(名单表!B6:B633,"苏村小学",名单表!S6:S633,"突发严重困难家庭学生")</f>
        <v>0</v>
      </c>
      <c r="H18" s="7">
        <f>COUNTIFS(名单表!B6:B633,"苏村小学",名单表!S6:S633,"城乡低保学生")</f>
        <v>0</v>
      </c>
      <c r="I18" s="7">
        <f>COUNTIFS(名单表!B6:B633,"苏村小学",名单表!S6:S633,"城乡低保家庭学生")</f>
        <v>0</v>
      </c>
      <c r="J18" s="7">
        <f>COUNTIFS(名单表!B6:B633,"苏村小学",名单表!S6:S633,"特困救助学生")</f>
        <v>0</v>
      </c>
      <c r="K18" s="7">
        <f>COUNTIFS(名单表!B6:B633,"苏村小学",名单表!S6:S633,"孤儿学生")</f>
        <v>0</v>
      </c>
      <c r="L18" s="7">
        <f>COUNTIFS(名单表!B6:B633,"苏村小学",名单表!S6:S633,"残疾学生")</f>
        <v>0</v>
      </c>
      <c r="M18" s="7">
        <f>COUNTIFS(名单表!B6:B633,"苏村小学",名单表!S6:S633,"残疾人子女学生")</f>
        <v>0</v>
      </c>
      <c r="N18" s="7">
        <f>COUNTIFS(名单表!B6:B633,"苏村小学",名单表!S6:S633,"事实无人抚养学生")</f>
        <v>0</v>
      </c>
      <c r="O18" s="7">
        <f>COUNTIFS(名单表!B6:B633,"苏村小学",名单表!S6:S633,"经济困难单亲家庭学生")</f>
        <v>0</v>
      </c>
      <c r="P18" s="7">
        <f>COUNTIFS(名单表!B6:B633,"苏村小学",名单表!S6:S633,"其他家庭经济困难")</f>
        <v>0</v>
      </c>
    </row>
    <row r="19" spans="1:16" ht="18" customHeight="1" x14ac:dyDescent="0.15">
      <c r="A19" s="6" t="s">
        <v>76</v>
      </c>
      <c r="B19" s="8">
        <f t="shared" si="0"/>
        <v>2</v>
      </c>
      <c r="C19" s="8">
        <f>COUNTIFS(名单表!B6:B633,"马头小学",名单表!S6:S633,"脱贫家庭学生")</f>
        <v>2</v>
      </c>
      <c r="D19" s="8">
        <f>COUNTIFS(名单表!B6:B633,"马头小学",名单表!S6:S633,"脱贫不稳定家庭学生")</f>
        <v>0</v>
      </c>
      <c r="E19" s="8">
        <f>COUNTIFS(名单表!B6:B633,"马头小学",名单表!S6:S633,"风险未消除家庭学生")</f>
        <v>0</v>
      </c>
      <c r="F19" s="8">
        <f>COUNTIFS(名单表!B6:B633,"马头小学",名单表!S6:S633,"边缘易致贫家庭学生")</f>
        <v>0</v>
      </c>
      <c r="G19" s="8">
        <f>COUNTIFS(名单表!B6:B633,"马头小学",名单表!S6:S633,"突发严重困难家庭学生")</f>
        <v>0</v>
      </c>
      <c r="H19" s="8">
        <f>COUNTIFS(名单表!B6:B633,"马头小学",名单表!S6:S633,"城乡低保学生")</f>
        <v>0</v>
      </c>
      <c r="I19" s="8">
        <f>COUNTIFS(名单表!B6:B633,"马头小学",名单表!S6:S633,"城乡低保家庭学生")</f>
        <v>0</v>
      </c>
      <c r="J19" s="8">
        <f>COUNTIFS(名单表!B6:B633,"马头小学",名单表!S6:S633,"特困救助学生")</f>
        <v>0</v>
      </c>
      <c r="K19" s="8">
        <f>COUNTIFS(名单表!B6:B633,"马头小学",名单表!S6:S633,"孤儿学生")</f>
        <v>0</v>
      </c>
      <c r="L19" s="8">
        <f>COUNTIFS(名单表!B6:B633,"马头小学",名单表!S6:S633,"残疾学生")</f>
        <v>0</v>
      </c>
      <c r="M19" s="8">
        <f>COUNTIFS(名单表!B6:B633,"马头小学",名单表!S6:S633,"残疾人子女学生")</f>
        <v>0</v>
      </c>
      <c r="N19" s="8">
        <f>COUNTIFS(名单表!B6:B633,"马头小学",名单表!S6:S633,"事实无人抚养学生")</f>
        <v>0</v>
      </c>
      <c r="O19" s="8">
        <f>COUNTIFS(名单表!B6:B633,"马头小学",名单表!S6:S633,"经济困难单亲家庭学生")</f>
        <v>0</v>
      </c>
      <c r="P19" s="8">
        <f>COUNTIFS(名单表!B6:B633,"马头小学",名单表!S6:S633,"其他家庭经济困难")</f>
        <v>0</v>
      </c>
    </row>
    <row r="20" spans="1:16" ht="18" customHeight="1" x14ac:dyDescent="0.15">
      <c r="A20" s="6" t="s">
        <v>77</v>
      </c>
      <c r="B20" s="7">
        <f t="shared" si="0"/>
        <v>1</v>
      </c>
      <c r="C20" s="7">
        <f>COUNTIFS(名单表!B6:B633,"张庄小学",名单表!S6:S633,"脱贫家庭学生")</f>
        <v>1</v>
      </c>
      <c r="D20" s="7">
        <f>COUNTIFS(名单表!B6:B633,"张庄小学",名单表!S6:S633,"脱贫不稳定家庭学生")</f>
        <v>0</v>
      </c>
      <c r="E20" s="7">
        <f>COUNTIFS(名单表!B6:B633,"张庄小学",名单表!S6:S633,"风险未消除家庭学生")</f>
        <v>0</v>
      </c>
      <c r="F20" s="7">
        <f>COUNTIFS(名单表!B6:B633,"张庄小学",名单表!S6:S633,"边缘易致贫家庭学生")</f>
        <v>0</v>
      </c>
      <c r="G20" s="7">
        <f>COUNTIFS(名单表!B6:B633,"张庄小学",名单表!S6:S633,"突发严重困难家庭学生")</f>
        <v>0</v>
      </c>
      <c r="H20" s="7">
        <f>COUNTIFS(名单表!B6:B633,"张庄小学",名单表!S6:S633,"城乡低保学生")</f>
        <v>0</v>
      </c>
      <c r="I20" s="7">
        <f>COUNTIFS(名单表!B6:B633,"张庄小学",名单表!S6:S633,"城乡低保家庭学生")</f>
        <v>0</v>
      </c>
      <c r="J20" s="7">
        <f>COUNTIFS(名单表!B6:B633,"张庄小学",名单表!S6:S633,"特困救助学生")</f>
        <v>0</v>
      </c>
      <c r="K20" s="7">
        <f>COUNTIFS(名单表!B6:B633,"张庄小学",名单表!S6:S633,"孤儿学生")</f>
        <v>0</v>
      </c>
      <c r="L20" s="7">
        <f>COUNTIFS(名单表!B6:B633,"张庄小学",名单表!S6:S633,"残疾学生")</f>
        <v>0</v>
      </c>
      <c r="M20" s="7">
        <f>COUNTIFS(名单表!B6:B633,"张庄小学",名单表!S6:S633,"残疾人子女学生")</f>
        <v>0</v>
      </c>
      <c r="N20" s="7">
        <f>COUNTIFS(名单表!B6:B633,"张庄小学",名单表!S6:S633,"事实无人抚养学生")</f>
        <v>0</v>
      </c>
      <c r="O20" s="7">
        <f>COUNTIFS(名单表!B6:B633,"张庄小学",名单表!S6:S633,"经济困难单亲家庭学生")</f>
        <v>0</v>
      </c>
      <c r="P20" s="7">
        <f>COUNTIFS(名单表!B6:B633,"张庄小学",名单表!S6:S633,"其他家庭经济困难")</f>
        <v>0</v>
      </c>
    </row>
    <row r="21" spans="1:16" ht="18" customHeight="1" x14ac:dyDescent="0.15">
      <c r="A21" s="6" t="s">
        <v>78</v>
      </c>
      <c r="B21" s="8">
        <f t="shared" si="0"/>
        <v>0</v>
      </c>
      <c r="C21" s="8">
        <f>COUNTIFS(名单表!B6:B633,"李庄小学",名单表!S6:S633,"脱贫家庭学生")</f>
        <v>0</v>
      </c>
      <c r="D21" s="8">
        <f>COUNTIFS(名单表!B6:B633,"李庄小学",名单表!S6:S633,"脱贫不稳定家庭学生")</f>
        <v>0</v>
      </c>
      <c r="E21" s="8">
        <f>COUNTIFS(名单表!B6:B633,"李庄小学",名单表!S6:S633,"风险未消除家庭学生")</f>
        <v>0</v>
      </c>
      <c r="F21" s="8">
        <f>COUNTIFS(名单表!B6:B633,"李庄小学",名单表!S6:S633,"边缘易致贫家庭学生")</f>
        <v>0</v>
      </c>
      <c r="G21" s="8">
        <f>COUNTIFS(名单表!B6:B633,"李庄小学",名单表!S6:S633,"突发严重困难家庭学生")</f>
        <v>0</v>
      </c>
      <c r="H21" s="8">
        <f>COUNTIFS(名单表!B6:B633,"李庄小学",名单表!S6:S633,"城乡低保学生")</f>
        <v>0</v>
      </c>
      <c r="I21" s="8">
        <f>COUNTIFS(名单表!B6:B633,"李庄小学",名单表!S6:S633,"城乡低保家庭学生")</f>
        <v>0</v>
      </c>
      <c r="J21" s="8">
        <f>COUNTIFS(名单表!B6:B633,"李庄小学",名单表!S6:S633,"特困救助学生")</f>
        <v>0</v>
      </c>
      <c r="K21" s="8">
        <f>COUNTIFS(名单表!B6:B633,"李庄小学",名单表!S6:S633,"孤儿学生")</f>
        <v>0</v>
      </c>
      <c r="L21" s="8">
        <f>COUNTIFS(名单表!B6:B633,"李庄小学",名单表!S6:S633,"残疾学生")</f>
        <v>0</v>
      </c>
      <c r="M21" s="8">
        <f>COUNTIFS(名单表!B6:B633,"李庄小学",名单表!S6:S633,"残疾人子女学生")</f>
        <v>0</v>
      </c>
      <c r="N21" s="8">
        <f>COUNTIFS(名单表!B6:B633,"李庄小学",名单表!S6:S633,"事实无人抚养学生")</f>
        <v>0</v>
      </c>
      <c r="O21" s="8">
        <f>COUNTIFS(名单表!B6:B633,"李庄小学",名单表!S6:S633,"经济困难单亲家庭学生")</f>
        <v>0</v>
      </c>
      <c r="P21" s="8">
        <f>COUNTIFS(名单表!B6:B633,"李庄小学",名单表!S6:S633,"其他家庭经济困难")</f>
        <v>0</v>
      </c>
    </row>
    <row r="22" spans="1:16" ht="18" customHeight="1" x14ac:dyDescent="0.15">
      <c r="A22" s="6" t="s">
        <v>79</v>
      </c>
      <c r="B22" s="7">
        <f t="shared" si="0"/>
        <v>10</v>
      </c>
      <c r="C22" s="7">
        <f>COUNTIFS(名单表!B6:B633,"实验中学",名单表!S6:S633,"脱贫家庭学生")</f>
        <v>10</v>
      </c>
      <c r="D22" s="7">
        <f>COUNTIFS(名单表!B6:B633,"实验中学",名单表!S6:S633,"脱贫不稳定家庭学生")</f>
        <v>0</v>
      </c>
      <c r="E22" s="7">
        <f>COUNTIFS(名单表!B6:B633,"实验中学",名单表!S6:S633,"风险未消除家庭学生")</f>
        <v>0</v>
      </c>
      <c r="F22" s="7">
        <f>COUNTIFS(名单表!B6:B633,"实验中学",名单表!S6:S633,"边缘易致贫家庭学生")</f>
        <v>0</v>
      </c>
      <c r="G22" s="7">
        <f>COUNTIFS(名单表!B6:B633,"实验中学",名单表!S6:S633,"突发严重困难家庭学生")</f>
        <v>0</v>
      </c>
      <c r="H22" s="7">
        <f>COUNTIFS(名单表!B6:B633,"实验中学",名单表!S6:S633,"城乡低保学生")</f>
        <v>0</v>
      </c>
      <c r="I22" s="7">
        <f>COUNTIFS(名单表!B6:B633,"实验中学",名单表!S6:S633,"城乡低保家庭学生")</f>
        <v>0</v>
      </c>
      <c r="J22" s="7">
        <f>COUNTIFS(名单表!B6:B633,"实验中学",名单表!S6:S633,"特困救助学生")</f>
        <v>0</v>
      </c>
      <c r="K22" s="7">
        <f>COUNTIFS(名单表!B6:B633,"实验中学",名单表!S6:S633,"孤儿学生")</f>
        <v>0</v>
      </c>
      <c r="L22" s="7">
        <f>COUNTIFS(名单表!B6:B633,"实验中学",名单表!S6:S633,"残疾学生")</f>
        <v>0</v>
      </c>
      <c r="M22" s="7">
        <f>COUNTIFS(名单表!B6:B633,"实验中学",名单表!S6:S633,"残疾人子女学生")</f>
        <v>0</v>
      </c>
      <c r="N22" s="7">
        <f>COUNTIFS(名单表!B6:B633,"实验中学",名单表!S6:S633,"事实无人抚养学生")</f>
        <v>0</v>
      </c>
      <c r="O22" s="7">
        <f>COUNTIFS(名单表!B6:B633,"实验中学",名单表!S6:S633,"经济困难单亲家庭学生")</f>
        <v>0</v>
      </c>
      <c r="P22" s="7">
        <f>COUNTIFS(名单表!B6:B633,"实验中学",名单表!S6:S633,"其他家庭经济困难")</f>
        <v>0</v>
      </c>
    </row>
  </sheetData>
  <mergeCells count="1">
    <mergeCell ref="A1:O1"/>
  </mergeCells>
  <phoneticPr fontId="25" type="noConversion"/>
  <pageMargins left="0.7" right="0.7" top="0.75" bottom="0.75" header="0.3" footer="0.3"/>
  <pageSetup paperSize="9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D21"/>
  <sheetViews>
    <sheetView workbookViewId="0">
      <selection activeCell="H14" sqref="H14"/>
    </sheetView>
  </sheetViews>
  <sheetFormatPr defaultColWidth="9" defaultRowHeight="13.5" x14ac:dyDescent="0.15"/>
  <cols>
    <col min="3" max="3" width="15.5" customWidth="1"/>
    <col min="4" max="4" width="22" customWidth="1"/>
  </cols>
  <sheetData>
    <row r="2" spans="3:4" x14ac:dyDescent="0.15">
      <c r="C2" s="1" t="s">
        <v>8</v>
      </c>
      <c r="D2" s="1" t="s">
        <v>80</v>
      </c>
    </row>
    <row r="3" spans="3:4" x14ac:dyDescent="0.15">
      <c r="C3" t="s">
        <v>62</v>
      </c>
      <c r="D3" t="s">
        <v>43</v>
      </c>
    </row>
    <row r="4" spans="3:4" x14ac:dyDescent="0.15">
      <c r="C4" t="s">
        <v>63</v>
      </c>
      <c r="D4" t="s">
        <v>48</v>
      </c>
    </row>
    <row r="5" spans="3:4" x14ac:dyDescent="0.15">
      <c r="C5" t="s">
        <v>64</v>
      </c>
      <c r="D5" t="s">
        <v>49</v>
      </c>
    </row>
    <row r="6" spans="3:4" x14ac:dyDescent="0.15">
      <c r="C6" t="s">
        <v>65</v>
      </c>
      <c r="D6" t="s">
        <v>50</v>
      </c>
    </row>
    <row r="7" spans="3:4" x14ac:dyDescent="0.15">
      <c r="C7" t="s">
        <v>66</v>
      </c>
      <c r="D7" t="s">
        <v>51</v>
      </c>
    </row>
    <row r="8" spans="3:4" x14ac:dyDescent="0.15">
      <c r="C8" t="s">
        <v>40</v>
      </c>
      <c r="D8" t="s">
        <v>52</v>
      </c>
    </row>
    <row r="9" spans="3:4" x14ac:dyDescent="0.15">
      <c r="C9" t="s">
        <v>67</v>
      </c>
      <c r="D9" t="s">
        <v>53</v>
      </c>
    </row>
    <row r="10" spans="3:4" x14ac:dyDescent="0.15">
      <c r="C10" t="s">
        <v>68</v>
      </c>
      <c r="D10" t="s">
        <v>54</v>
      </c>
    </row>
    <row r="11" spans="3:4" x14ac:dyDescent="0.15">
      <c r="C11" t="s">
        <v>69</v>
      </c>
      <c r="D11" t="s">
        <v>55</v>
      </c>
    </row>
    <row r="12" spans="3:4" x14ac:dyDescent="0.15">
      <c r="C12" t="s">
        <v>70</v>
      </c>
      <c r="D12" t="s">
        <v>56</v>
      </c>
    </row>
    <row r="13" spans="3:4" x14ac:dyDescent="0.15">
      <c r="C13" t="s">
        <v>71</v>
      </c>
      <c r="D13" t="s">
        <v>57</v>
      </c>
    </row>
    <row r="14" spans="3:4" x14ac:dyDescent="0.15">
      <c r="C14" t="s">
        <v>72</v>
      </c>
      <c r="D14" t="s">
        <v>58</v>
      </c>
    </row>
    <row r="15" spans="3:4" x14ac:dyDescent="0.15">
      <c r="C15" t="s">
        <v>73</v>
      </c>
      <c r="D15" t="s">
        <v>59</v>
      </c>
    </row>
    <row r="16" spans="3:4" x14ac:dyDescent="0.15">
      <c r="C16" t="s">
        <v>74</v>
      </c>
      <c r="D16" t="s">
        <v>60</v>
      </c>
    </row>
    <row r="17" spans="3:3" x14ac:dyDescent="0.15">
      <c r="C17" t="s">
        <v>75</v>
      </c>
    </row>
    <row r="18" spans="3:3" x14ac:dyDescent="0.15">
      <c r="C18" t="s">
        <v>76</v>
      </c>
    </row>
    <row r="19" spans="3:3" x14ac:dyDescent="0.15">
      <c r="C19" t="s">
        <v>77</v>
      </c>
    </row>
    <row r="20" spans="3:3" x14ac:dyDescent="0.15">
      <c r="C20" t="s">
        <v>78</v>
      </c>
    </row>
    <row r="21" spans="3:3" x14ac:dyDescent="0.15">
      <c r="C21" t="s">
        <v>79</v>
      </c>
    </row>
  </sheetData>
  <phoneticPr fontId="25" type="noConversion"/>
  <pageMargins left="0.7" right="0.7" top="0.75" bottom="0.75" header="0.3" footer="0.3"/>
  <pageSetup paperSize="9" orientation="portrait" horizontalDpi="2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2_1" rangeCreator="" othersAccessPermission="edit"/>
    <arrUserId title="区域2_3_1" rangeCreator="" othersAccessPermission="edit"/>
    <arrUserId title="区域3_3" rangeCreator="" othersAccessPermission="edit"/>
    <arrUserId title="区域3_1_3" rangeCreator="" othersAccessPermission="edit"/>
    <arrUserId title="区域7_2_1" rangeCreator="" othersAccessPermission="edit"/>
    <arrUserId title="区域1_1_1_2" rangeCreator="" othersAccessPermission="edit"/>
    <arrUserId title="区域4_2" rangeCreator="" othersAccessPermission="edit"/>
    <arrUserId title="区域1_1_1_1_1" rangeCreator="" othersAccessPermission="edit"/>
    <arrUserId title="区域4_1_1" rangeCreator="" othersAccessPermission="edit"/>
    <arrUserId title="区域3_2_2" rangeCreator="" othersAccessPermission="edit"/>
    <arrUserId title="区域1_2" rangeCreator="" othersAccessPermission="edit"/>
    <arrUserId title="区域2_5_1" rangeCreator="" othersAccessPermission="edit"/>
    <arrUserId title="区域4_1_2_1" rangeCreator="" othersAccessPermission="edit"/>
    <arrUserId title="区域4_2_1_1" rangeCreator="" othersAccessPermission="edit"/>
    <arrUserId title="区域1_1_2" rangeCreator="" othersAccessPermission="edit"/>
    <arrUserId title="区域1_1_2_1" rangeCreator="" othersAccessPermission="edit"/>
    <arrUserId title="区域1_2_1" rangeCreator="" othersAccessPermission="edit"/>
    <arrUserId title="区域2_4" rangeCreator="" othersAccessPermission="edit"/>
    <arrUserId title="区域1_3" rangeCreator="" othersAccessPermission="edit"/>
    <arrUserId title="区域1_1_1_2_1" rangeCreator="" othersAccessPermission="edit"/>
    <arrUserId title="区域1_2_1_1" rangeCreator="" othersAccessPermission="edit"/>
    <arrUserId title="区域2_1_2" rangeCreator="" othersAccessPermission="edit"/>
    <arrUserId title="区域4_1_5" rangeCreator="" othersAccessPermission="edit"/>
    <arrUserId title="区域3_1" rangeCreator="" othersAccessPermission="edit"/>
    <arrUserId title="区域4_1_6" rangeCreator="" othersAccessPermission="edit"/>
    <arrUserId title="区域4_1_3" rangeCreator="" othersAccessPermission="edit"/>
    <arrUserId title="区域4_2_2" rangeCreator="" othersAccessPermission="edit"/>
    <arrUserId title="区域4_2_4" rangeCreator="" othersAccessPermission="edit"/>
    <arrUserId title="区域3_4" rangeCreator="" othersAccessPermission="edit"/>
    <arrUserId title="区域4_2_1" rangeCreator="" othersAccessPermission="edit"/>
    <arrUserId title="区域3_2" rangeCreator="" othersAccessPermission="edit"/>
    <arrUserId title="区域3_3_1" rangeCreator="" othersAccessPermission="edit"/>
    <arrUserId title="区域4_2_3" rangeCreator="" othersAccessPermission="edit"/>
    <arrUserId title="区域3_3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名单表</vt:lpstr>
      <vt:lpstr>统计表</vt:lpstr>
      <vt:lpstr>Sheet3</vt:lpstr>
      <vt:lpstr>困难类型</vt:lpstr>
      <vt:lpstr>学校名称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2023-11-28T09:05:17Z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FC0A8553933B42079A80FE376AF51809_12</vt:lpwstr>
  </property>
  <property fmtid="{D5CDD505-2E9C-101B-9397-08002B2CF9AE}" pid="3" name="KSOProductBuildVer">
    <vt:lpwstr>2052-11.1.0.14309</vt:lpwstr>
  </property>
</Properties>
</file>